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3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15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4.xml" ContentType="application/vnd.openxmlformats-officedocument.spreadsheetml.table+xml"/>
  <Override PartName="/xl/tables/table17.xml" ContentType="application/vnd.openxmlformats-officedocument.spreadsheetml.table+xml"/>
  <Override PartName="/xl/tables/table21.xml" ContentType="application/vnd.openxmlformats-officedocument.spreadsheetml.table+xml"/>
  <Override PartName="/xl/tables/table18.xml" ContentType="application/vnd.openxmlformats-officedocument.spreadsheetml.table+xml"/>
  <Override PartName="/xl/tables/table22.xml" ContentType="application/vnd.openxmlformats-officedocument.spreadsheetml.table+xml"/>
  <Override PartName="/xl/tables/table20.xml" ContentType="application/vnd.openxmlformats-officedocument.spreadsheetml.table+xml"/>
  <Override PartName="/xl/tables/table19.xml" ContentType="application/vnd.openxmlformats-officedocument.spreadsheetml.table+xml"/>
  <Override PartName="/xl/tables/table26.xml" ContentType="application/vnd.openxmlformats-officedocument.spreadsheetml.table+xml"/>
  <Override PartName="/xl/tables/table23.xml" ContentType="application/vnd.openxmlformats-officedocument.spreadsheetml.table+xml"/>
  <Override PartName="/xl/tables/table27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35.xml" ContentType="application/vnd.openxmlformats-officedocument.spreadsheetml.table+xml"/>
  <Override PartName="/xl/tables/table33.xml" ContentType="application/vnd.openxmlformats-officedocument.spreadsheetml.table+xml"/>
  <Override PartName="/xl/tables/table29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0.xml" ContentType="application/vnd.openxmlformats-officedocument.spreadsheetml.table+xml"/>
  <Override PartName="/xl/tables/table28.xml" ContentType="application/vnd.openxmlformats-officedocument.spreadsheetml.table+xml"/>
  <Override PartName="/xl/tables/table34.xml" ContentType="application/vnd.openxmlformats-officedocument.spreadsheetml.table+xml"/>
  <Override PartName="/xl/tables/table37.xml" ContentType="application/vnd.openxmlformats-officedocument.spreadsheetml.table+xml"/>
  <Override PartName="/xl/tables/table41.xml" ContentType="application/vnd.openxmlformats-officedocument.spreadsheetml.table+xml"/>
  <Override PartName="/xl/tables/table40.xml" ContentType="application/vnd.openxmlformats-officedocument.spreadsheetml.table+xml"/>
  <Override PartName="/xl/tables/table36.xml" ContentType="application/vnd.openxmlformats-officedocument.spreadsheetml.table+xml"/>
  <Override PartName="/xl/tables/table39.xml" ContentType="application/vnd.openxmlformats-officedocument.spreadsheetml.table+xml"/>
  <Override PartName="/xl/tables/table3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55" windowHeight="5250" tabRatio="894" activeTab="0"/>
  </bookViews>
  <sheets>
    <sheet name="Summary" sheetId="1" r:id="rId1"/>
    <sheet name="life 2019" sheetId="2" r:id="rId2"/>
    <sheet name="Non-life 2019" sheetId="3" r:id="rId3"/>
    <sheet name="HMO's" sheetId="4" r:id="rId4"/>
    <sheet name="Uganda Re" sheetId="5" r:id="rId5"/>
    <sheet name="Micro-Insurer" sheetId="6" r:id="rId6"/>
    <sheet name=" Expenses 2019" sheetId="7" r:id="rId7"/>
  </sheets>
  <definedNames>
    <definedName name="_xlfn.IFERROR" hidden="1">#NAME?</definedName>
    <definedName name="_xlnm.Print_Area" localSheetId="2">'Non-life 2019'!$A$1:$O$228</definedName>
  </definedNames>
  <calcPr fullCalcOnLoad="1"/>
</workbook>
</file>

<file path=xl/sharedStrings.xml><?xml version="1.0" encoding="utf-8"?>
<sst xmlns="http://schemas.openxmlformats.org/spreadsheetml/2006/main" count="992" uniqueCount="178">
  <si>
    <t>Company</t>
  </si>
  <si>
    <t>Jubilee</t>
  </si>
  <si>
    <t>UAP</t>
  </si>
  <si>
    <t>Goldstar</t>
  </si>
  <si>
    <t>Excel</t>
  </si>
  <si>
    <t>SWICO</t>
  </si>
  <si>
    <t>FICO</t>
  </si>
  <si>
    <t>ICEA</t>
  </si>
  <si>
    <t>TransAfrica</t>
  </si>
  <si>
    <t>PAX</t>
  </si>
  <si>
    <t>Total</t>
  </si>
  <si>
    <t>Fire</t>
  </si>
  <si>
    <t>Motor</t>
  </si>
  <si>
    <t>Work. Comp</t>
  </si>
  <si>
    <t>Burglary</t>
  </si>
  <si>
    <t>Engineering</t>
  </si>
  <si>
    <t>P. Accident</t>
  </si>
  <si>
    <t>Bonds</t>
  </si>
  <si>
    <t>Miscell.</t>
  </si>
  <si>
    <t>National Insurance</t>
  </si>
  <si>
    <t>Life Individual</t>
  </si>
  <si>
    <t>Life Group</t>
  </si>
  <si>
    <t>Deposit Admin</t>
  </si>
  <si>
    <t>Commission</t>
  </si>
  <si>
    <t>(C )</t>
  </si>
  <si>
    <t>Management</t>
  </si>
  <si>
    <t>(C + ME)</t>
  </si>
  <si>
    <t>Expenses (ME)</t>
  </si>
  <si>
    <t>Gross</t>
  </si>
  <si>
    <t>Premium</t>
  </si>
  <si>
    <t>Expense Ratio</t>
  </si>
  <si>
    <t>[(C+ME)/Gross Prem]%</t>
  </si>
  <si>
    <t>ME/</t>
  </si>
  <si>
    <t>Gross prem</t>
  </si>
  <si>
    <t>Commission/</t>
  </si>
  <si>
    <t>(Amount Ushs. '000)</t>
  </si>
  <si>
    <t>-</t>
  </si>
  <si>
    <t>APA</t>
  </si>
  <si>
    <t>Column1</t>
  </si>
  <si>
    <t>Column2</t>
  </si>
  <si>
    <t>Column3</t>
  </si>
  <si>
    <t>Column4</t>
  </si>
  <si>
    <t>Column5</t>
  </si>
  <si>
    <t>Column6</t>
  </si>
  <si>
    <t>Column7</t>
  </si>
  <si>
    <t>2008</t>
  </si>
  <si>
    <t>2009</t>
  </si>
  <si>
    <t>2010</t>
  </si>
  <si>
    <t>P.Liability</t>
  </si>
  <si>
    <t>Marine/Av.</t>
  </si>
  <si>
    <t>Swico</t>
  </si>
  <si>
    <t>Rio</t>
  </si>
  <si>
    <t>Sanlam</t>
  </si>
  <si>
    <t>Britam</t>
  </si>
  <si>
    <t>2011</t>
  </si>
  <si>
    <t>Gross premium</t>
  </si>
  <si>
    <t>AIG</t>
  </si>
  <si>
    <t>2012</t>
  </si>
  <si>
    <t>Total expenses</t>
  </si>
  <si>
    <t>commission expense ratio</t>
  </si>
  <si>
    <t>management expenses ratio</t>
  </si>
  <si>
    <t>Non-life expenses</t>
  </si>
  <si>
    <t>Total commission expense</t>
  </si>
  <si>
    <t>Total Management expenses</t>
  </si>
  <si>
    <t>Expense ratio</t>
  </si>
  <si>
    <t>life expenses</t>
  </si>
  <si>
    <t>Medical</t>
  </si>
  <si>
    <t>CIC</t>
  </si>
  <si>
    <t>UAP Life</t>
  </si>
  <si>
    <t>Sanlam General</t>
  </si>
  <si>
    <t>CIC General</t>
  </si>
  <si>
    <t>NIC Life</t>
  </si>
  <si>
    <t>CIC Life</t>
  </si>
  <si>
    <t>Prudential</t>
  </si>
  <si>
    <t>Alliance</t>
  </si>
  <si>
    <t>Liberty</t>
  </si>
  <si>
    <t>Management Expenses (ME)</t>
  </si>
  <si>
    <t>Gross Premium</t>
  </si>
  <si>
    <t>Management Expense Ratio</t>
  </si>
  <si>
    <t>commission ratio</t>
  </si>
  <si>
    <t>Column8</t>
  </si>
  <si>
    <t>Column9</t>
  </si>
  <si>
    <t>Metropolitan life</t>
  </si>
  <si>
    <t>Liberty General</t>
  </si>
  <si>
    <t>NIC General</t>
  </si>
  <si>
    <t>No</t>
  </si>
  <si>
    <t>International Air Ambulance</t>
  </si>
  <si>
    <t>INDUSTRY SUMMARY</t>
  </si>
  <si>
    <t>Percentage change(%)</t>
  </si>
  <si>
    <t>Grand Industry total</t>
  </si>
  <si>
    <t>Market share 2018</t>
  </si>
  <si>
    <t>Q4, 2018 Total</t>
  </si>
  <si>
    <t>AAR Health Services (U) Limited</t>
  </si>
  <si>
    <t>Case Med Care Limited</t>
  </si>
  <si>
    <t>International Medical Link (U)Ltd</t>
  </si>
  <si>
    <t>St. Catherine's Hospital</t>
  </si>
  <si>
    <t>Commission Expenses</t>
  </si>
  <si>
    <t>Management Expenses</t>
  </si>
  <si>
    <t>Non-life</t>
  </si>
  <si>
    <t>Life</t>
  </si>
  <si>
    <t>Change in Portfolio Premium</t>
  </si>
  <si>
    <t>Retrocession</t>
  </si>
  <si>
    <t>Net premium</t>
  </si>
  <si>
    <t>Net Earned Premium</t>
  </si>
  <si>
    <t>Net Incurred claims</t>
  </si>
  <si>
    <t>commission paid</t>
  </si>
  <si>
    <t>Retrocession Ratio</t>
  </si>
  <si>
    <t>Retention Ratio</t>
  </si>
  <si>
    <t>Loss Ratio</t>
  </si>
  <si>
    <t>Commission Ratio</t>
  </si>
  <si>
    <t>UAP General</t>
  </si>
  <si>
    <t>MUA Insurance</t>
  </si>
  <si>
    <t>ICEA General</t>
  </si>
  <si>
    <t>GMI</t>
  </si>
  <si>
    <t>Funeral</t>
  </si>
  <si>
    <t>Non-Life Gross written premium</t>
  </si>
  <si>
    <t>Life Gross written premium</t>
  </si>
  <si>
    <t>HMO Gross written premium</t>
  </si>
  <si>
    <t>Mayfair</t>
  </si>
  <si>
    <t>Microinsurer</t>
  </si>
  <si>
    <t>MicroInsurer</t>
  </si>
  <si>
    <t xml:space="preserve">2018 Total </t>
  </si>
  <si>
    <t>2018 Total</t>
  </si>
  <si>
    <t>.</t>
  </si>
  <si>
    <t>Marine/Aviation</t>
  </si>
  <si>
    <t>Personal Accident</t>
  </si>
  <si>
    <t>Misc. Accident</t>
  </si>
  <si>
    <t>2019 Total</t>
  </si>
  <si>
    <t>GA Insurance</t>
  </si>
  <si>
    <t>Non-life gross premium -2019</t>
  </si>
  <si>
    <t xml:space="preserve">Non-life insurance premium ceded-2019                                                                                                             </t>
  </si>
  <si>
    <t>Non-life net premium -2019</t>
  </si>
  <si>
    <t>Non-life reinsurance ratios -2019</t>
  </si>
  <si>
    <t>Non-life retention ratios -2019</t>
  </si>
  <si>
    <t>Non-life net earned premium -2019</t>
  </si>
  <si>
    <t>Non-life net incurred claims-2019</t>
  </si>
  <si>
    <t>Non-life loss ratios-2019</t>
  </si>
  <si>
    <t>Non-life underwriting profit/loss-Q4, 2019</t>
  </si>
  <si>
    <t>Edge Micro</t>
  </si>
  <si>
    <t>loss ratios -2019</t>
  </si>
  <si>
    <t>Net earned premium -2019</t>
  </si>
  <si>
    <t>Net incurred claims -2019</t>
  </si>
  <si>
    <t>Retention ratios -2019</t>
  </si>
  <si>
    <t>Reinsurance ratios -2019</t>
  </si>
  <si>
    <t>Net premium -2019</t>
  </si>
  <si>
    <t>Insurance premium ceded -2019</t>
  </si>
  <si>
    <t>Gross premium -2019</t>
  </si>
  <si>
    <t>Q4, 2019 Total</t>
  </si>
  <si>
    <t xml:space="preserve">2019 Total </t>
  </si>
  <si>
    <t>Gross Premium - 2019</t>
  </si>
  <si>
    <t xml:space="preserve">Insurance premium ceded 2019                                                                                                         </t>
  </si>
  <si>
    <t>Net premium 2019</t>
  </si>
  <si>
    <t>Reinsurance ratios - 2019</t>
  </si>
  <si>
    <t>Retention ratios , 2019</t>
  </si>
  <si>
    <t>Net earned premium, 2019</t>
  </si>
  <si>
    <t>Net incurred claims,2019</t>
  </si>
  <si>
    <t>loss ratios, 2019</t>
  </si>
  <si>
    <t>Underwriting profit/loss, 2019</t>
  </si>
  <si>
    <t>%age growth 2018/19</t>
  </si>
  <si>
    <t>Market share 2019</t>
  </si>
  <si>
    <t>Life gross premium -2019</t>
  </si>
  <si>
    <t>Life insurance premium ceded -2019</t>
  </si>
  <si>
    <t>Life net premium -2019</t>
  </si>
  <si>
    <t>Life reinsurance ratios -2019</t>
  </si>
  <si>
    <t>Life retention ratios -2019</t>
  </si>
  <si>
    <t>Life net incurred claims -2019</t>
  </si>
  <si>
    <t>Life net earned premium -2019</t>
  </si>
  <si>
    <t>Life loss ratios -2019</t>
  </si>
  <si>
    <t>Market composition 2019 (%)</t>
  </si>
  <si>
    <t>GROSS WRITTEN PREMIUM INCOME FOR THE YEAR 2019</t>
  </si>
  <si>
    <t>Life expense ratios-2019</t>
  </si>
  <si>
    <t>Non-Life expense ratios-2019</t>
  </si>
  <si>
    <t>HMO Expense Ratios</t>
  </si>
  <si>
    <t>Deposit Administration</t>
  </si>
  <si>
    <t>Gross Premium 2018</t>
  </si>
  <si>
    <t>Gross Premium 2019</t>
  </si>
  <si>
    <t>Market Share 2019</t>
  </si>
  <si>
    <t>HMO Gross Premium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</si>
</sst>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 * #,##0_ ;_ * \-#,##0_ ;_ * &quot;-&quot;??_ ;_ @_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[$-409]h:mm:ss\ AM/PM"/>
    <numFmt numFmtId="173" formatCode="_(* #,##0.000_);_(* \(#,##0.000\);_(* &quot;-&quot;???_);_(@_)"/>
    <numFmt numFmtId="174" formatCode="_(* #,##0.000_);_(* \(#,##0.000\);_(* &quot;-&quot;??_);_(@_)"/>
    <numFmt numFmtId="175" formatCode="0.0%"/>
    <numFmt numFmtId="176" formatCode="0.000%"/>
    <numFmt numFmtId="177" formatCode="_(* #,##0.0000_);_(* \(#,##0.0000\);_(* &quot;-&quot;??_);_(@_)"/>
    <numFmt numFmtId="178" formatCode="_(* #,##0.00000_);_(* \(#,##0.00000\);_(* &quot;-&quot;??_);_(@_)"/>
    <numFmt numFmtId="179" formatCode="0.0"/>
  </numFmts>
  <fonts count="43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4"/>
      <color indexed="8"/>
      <name val="Calibri"/>
      <family val="2"/>
    </font>
    <font>
      <b/>
      <sz val="12"/>
      <color indexed="62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4"/>
      <color rgb="FF000000"/>
      <name val="Calibri"/>
      <family val="2"/>
    </font>
    <font>
      <b/>
      <sz val="12"/>
      <color theme="4"/>
      <name val="Arial Narrow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medium">
        <color theme="8"/>
      </left>
      <right style="thin">
        <color theme="8"/>
      </right>
      <top style="medium">
        <color theme="8"/>
      </top>
      <bottom/>
    </border>
    <border>
      <left style="thin">
        <color theme="8"/>
      </left>
      <right style="thin">
        <color theme="8"/>
      </right>
      <top style="medium">
        <color theme="8"/>
      </top>
      <bottom/>
    </border>
    <border>
      <left style="medium">
        <color theme="8"/>
      </left>
      <right style="thin">
        <color theme="8"/>
      </right>
      <top style="medium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medium">
        <color theme="8"/>
      </top>
      <bottom style="thin">
        <color theme="8"/>
      </bottom>
    </border>
    <border>
      <left style="medium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medium">
        <color theme="8"/>
      </left>
      <right style="thin">
        <color theme="8"/>
      </right>
      <top style="thin">
        <color theme="8"/>
      </top>
      <bottom style="medium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</border>
    <border>
      <left style="medium">
        <color theme="8"/>
      </left>
      <right style="thin">
        <color theme="8"/>
      </right>
      <top/>
      <bottom style="medium">
        <color theme="8"/>
      </bottom>
    </border>
    <border>
      <left style="thin">
        <color theme="8"/>
      </left>
      <right style="thin">
        <color theme="8"/>
      </right>
      <top/>
      <bottom style="medium">
        <color theme="8"/>
      </bottom>
    </border>
    <border>
      <left/>
      <right style="thin">
        <color theme="8"/>
      </right>
      <top/>
      <bottom/>
    </border>
    <border>
      <left style="thin">
        <color theme="8"/>
      </left>
      <right style="thin">
        <color theme="8"/>
      </right>
      <top/>
      <bottom/>
    </border>
    <border>
      <left/>
      <right style="thin">
        <color theme="8"/>
      </right>
      <top/>
      <bottom style="thin">
        <color theme="8"/>
      </bottom>
    </border>
    <border>
      <left style="thin">
        <color theme="8"/>
      </left>
      <right style="thin">
        <color theme="8"/>
      </right>
      <top/>
      <bottom style="thin">
        <color theme="8"/>
      </bottom>
    </border>
    <border>
      <left/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/>
      <top style="thin">
        <color theme="8"/>
      </top>
      <bottom style="thin">
        <color theme="8"/>
      </bottom>
    </border>
    <border>
      <left style="thin">
        <color theme="8"/>
      </left>
      <right style="medium">
        <color theme="8"/>
      </right>
      <top style="thin">
        <color theme="8"/>
      </top>
      <bottom style="thin">
        <color theme="8"/>
      </bottom>
    </border>
    <border>
      <left style="thin">
        <color theme="8"/>
      </left>
      <right style="thin">
        <color theme="8"/>
      </right>
      <top style="thin">
        <color theme="8"/>
      </top>
      <bottom/>
    </border>
    <border>
      <left/>
      <right style="thin">
        <color theme="8"/>
      </right>
      <top style="medium">
        <color theme="8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8"/>
      </left>
      <right style="medium">
        <color theme="3" tint="0.5999600291252136"/>
      </right>
      <top style="thin">
        <color theme="8"/>
      </top>
      <bottom>
        <color indexed="63"/>
      </bottom>
    </border>
    <border>
      <left style="thin">
        <color theme="8"/>
      </left>
      <right style="medium">
        <color theme="3" tint="0.5999600291252136"/>
      </right>
      <top style="medium">
        <color theme="8"/>
      </top>
      <bottom style="medium">
        <color theme="3" tint="0.5999600291252136"/>
      </bottom>
    </border>
    <border>
      <left style="thin">
        <color theme="4" tint="0.3999499976634979"/>
      </left>
      <right style="thin">
        <color theme="4" tint="0.3999499976634979"/>
      </right>
      <top>
        <color indexed="63"/>
      </top>
      <bottom style="medium">
        <color theme="8"/>
      </bottom>
    </border>
    <border>
      <left>
        <color indexed="63"/>
      </left>
      <right style="thin">
        <color theme="4" tint="0.3999499976634979"/>
      </right>
      <top>
        <color indexed="63"/>
      </top>
      <bottom>
        <color indexed="63"/>
      </bottom>
    </border>
  </borders>
  <cellStyleXfs count="72">
    <xf numFmtId="43" fontId="0" fillId="0" borderId="0">
      <alignment/>
      <protection/>
    </xf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0" applyNumberFormat="0" applyBorder="0" applyAlignment="0" applyProtection="0"/>
    <xf numFmtId="43" fontId="0" fillId="27" borderId="1" applyNumberFormat="0" applyAlignment="0" applyProtection="0"/>
    <xf numFmtId="43" fontId="0" fillId="28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30" borderId="1" applyNumberFormat="0" applyAlignment="0" applyProtection="0"/>
    <xf numFmtId="43" fontId="0" fillId="0" borderId="6" applyNumberFormat="0" applyFill="0" applyAlignment="0" applyProtection="0"/>
    <xf numFmtId="43" fontId="0" fillId="31" borderId="0" applyNumberFormat="0" applyBorder="0" applyAlignment="0" applyProtection="0"/>
    <xf numFmtId="4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3" fontId="0" fillId="32" borderId="7" applyNumberFormat="0" applyFont="0" applyAlignment="0" applyProtection="0"/>
    <xf numFmtId="43" fontId="0" fillId="27" borderId="8" applyNumberFormat="0" applyAlignment="0" applyProtection="0"/>
    <xf numFmtId="43" fontId="0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375">
    <xf numFmtId="43" fontId="0" fillId="0" borderId="0" xfId="0" applyAlignment="1">
      <alignment/>
    </xf>
    <xf numFmtId="43" fontId="1" fillId="0" borderId="0" xfId="0" applyFont="1" applyAlignment="1">
      <alignment/>
    </xf>
    <xf numFmtId="43" fontId="3" fillId="0" borderId="0" xfId="0" applyFont="1" applyAlignment="1">
      <alignment/>
    </xf>
    <xf numFmtId="43" fontId="0" fillId="33" borderId="0" xfId="0" applyFill="1" applyAlignment="1">
      <alignment/>
    </xf>
    <xf numFmtId="164" fontId="31" fillId="34" borderId="0" xfId="0" applyNumberFormat="1" applyFont="1" applyFill="1" applyAlignment="1">
      <alignment/>
    </xf>
    <xf numFmtId="164" fontId="31" fillId="34" borderId="10" xfId="0" applyNumberFormat="1" applyFont="1" applyFill="1" applyBorder="1" applyAlignment="1">
      <alignment/>
    </xf>
    <xf numFmtId="164" fontId="31" fillId="34" borderId="11" xfId="0" applyNumberFormat="1" applyFont="1" applyFill="1" applyBorder="1" applyAlignment="1">
      <alignment/>
    </xf>
    <xf numFmtId="164" fontId="31" fillId="34" borderId="10" xfId="0" applyNumberFormat="1" applyFont="1" applyFill="1" applyBorder="1" applyAlignment="1">
      <alignment horizontal="right"/>
    </xf>
    <xf numFmtId="164" fontId="32" fillId="34" borderId="0" xfId="0" applyNumberFormat="1" applyFont="1" applyFill="1" applyAlignment="1">
      <alignment/>
    </xf>
    <xf numFmtId="164" fontId="32" fillId="34" borderId="10" xfId="0" applyNumberFormat="1" applyFont="1" applyFill="1" applyBorder="1" applyAlignment="1">
      <alignment/>
    </xf>
    <xf numFmtId="164" fontId="31" fillId="34" borderId="10" xfId="42" applyNumberFormat="1" applyFont="1" applyFill="1" applyBorder="1" applyAlignment="1">
      <alignment horizontal="center"/>
    </xf>
    <xf numFmtId="164" fontId="32" fillId="34" borderId="11" xfId="0" applyNumberFormat="1" applyFont="1" applyFill="1" applyBorder="1" applyAlignment="1">
      <alignment/>
    </xf>
    <xf numFmtId="43" fontId="31" fillId="34" borderId="10" xfId="0" applyNumberFormat="1" applyFont="1" applyFill="1" applyBorder="1" applyAlignment="1">
      <alignment/>
    </xf>
    <xf numFmtId="43" fontId="32" fillId="34" borderId="10" xfId="0" applyNumberFormat="1" applyFont="1" applyFill="1" applyBorder="1" applyAlignment="1">
      <alignment/>
    </xf>
    <xf numFmtId="43" fontId="33" fillId="34" borderId="0" xfId="0" applyFont="1" applyFill="1" applyAlignment="1">
      <alignment/>
    </xf>
    <xf numFmtId="164" fontId="31" fillId="34" borderId="10" xfId="42" applyNumberFormat="1" applyFont="1" applyFill="1" applyBorder="1" applyAlignment="1">
      <alignment/>
    </xf>
    <xf numFmtId="164" fontId="31" fillId="34" borderId="12" xfId="0" applyNumberFormat="1" applyFont="1" applyFill="1" applyBorder="1" applyAlignment="1">
      <alignment/>
    </xf>
    <xf numFmtId="164" fontId="32" fillId="34" borderId="13" xfId="0" applyNumberFormat="1" applyFont="1" applyFill="1" applyBorder="1" applyAlignment="1">
      <alignment/>
    </xf>
    <xf numFmtId="164" fontId="31" fillId="34" borderId="14" xfId="0" applyNumberFormat="1" applyFont="1" applyFill="1" applyBorder="1" applyAlignment="1">
      <alignment/>
    </xf>
    <xf numFmtId="164" fontId="31" fillId="34" borderId="15" xfId="0" applyNumberFormat="1" applyFont="1" applyFill="1" applyBorder="1" applyAlignment="1">
      <alignment/>
    </xf>
    <xf numFmtId="43" fontId="1" fillId="0" borderId="0" xfId="0" applyFont="1" applyFill="1" applyAlignment="1">
      <alignment/>
    </xf>
    <xf numFmtId="43" fontId="0" fillId="0" borderId="0" xfId="0" applyFill="1" applyAlignment="1">
      <alignment/>
    </xf>
    <xf numFmtId="43" fontId="1" fillId="34" borderId="0" xfId="0" applyFont="1" applyFill="1" applyAlignment="1">
      <alignment/>
    </xf>
    <xf numFmtId="43" fontId="0" fillId="34" borderId="0" xfId="0" applyFill="1" applyAlignment="1">
      <alignment/>
    </xf>
    <xf numFmtId="164" fontId="32" fillId="34" borderId="16" xfId="42" applyNumberFormat="1" applyFont="1" applyFill="1" applyBorder="1" applyAlignment="1">
      <alignment/>
    </xf>
    <xf numFmtId="43" fontId="31" fillId="34" borderId="10" xfId="0" applyNumberFormat="1" applyFont="1" applyFill="1" applyBorder="1" applyAlignment="1">
      <alignment horizontal="right"/>
    </xf>
    <xf numFmtId="164" fontId="31" fillId="34" borderId="10" xfId="42" applyNumberFormat="1" applyFont="1" applyFill="1" applyBorder="1" applyAlignment="1">
      <alignment horizontal="right"/>
    </xf>
    <xf numFmtId="164" fontId="31" fillId="34" borderId="0" xfId="0" applyNumberFormat="1" applyFont="1" applyFill="1" applyBorder="1" applyAlignment="1">
      <alignment/>
    </xf>
    <xf numFmtId="43" fontId="33" fillId="34" borderId="0" xfId="0" applyFont="1" applyFill="1" applyBorder="1" applyAlignment="1">
      <alignment/>
    </xf>
    <xf numFmtId="164" fontId="31" fillId="34" borderId="12" xfId="42" applyNumberFormat="1" applyFont="1" applyFill="1" applyBorder="1" applyAlignment="1">
      <alignment/>
    </xf>
    <xf numFmtId="164" fontId="32" fillId="34" borderId="0" xfId="0" applyNumberFormat="1" applyFont="1" applyFill="1" applyBorder="1" applyAlignment="1">
      <alignment/>
    </xf>
    <xf numFmtId="164" fontId="34" fillId="34" borderId="10" xfId="0" applyNumberFormat="1" applyFont="1" applyFill="1" applyBorder="1" applyAlignment="1">
      <alignment/>
    </xf>
    <xf numFmtId="164" fontId="34" fillId="34" borderId="16" xfId="0" applyNumberFormat="1" applyFont="1" applyFill="1" applyBorder="1" applyAlignment="1">
      <alignment/>
    </xf>
    <xf numFmtId="43" fontId="4" fillId="0" borderId="0" xfId="0" applyFont="1" applyFill="1" applyAlignment="1">
      <alignment/>
    </xf>
    <xf numFmtId="164" fontId="34" fillId="34" borderId="0" xfId="0" applyNumberFormat="1" applyFont="1" applyFill="1" applyAlignment="1">
      <alignment/>
    </xf>
    <xf numFmtId="43" fontId="34" fillId="34" borderId="0" xfId="0" applyFont="1" applyFill="1" applyAlignment="1">
      <alignment/>
    </xf>
    <xf numFmtId="164" fontId="35" fillId="34" borderId="14" xfId="0" applyNumberFormat="1" applyFont="1" applyFill="1" applyBorder="1" applyAlignment="1">
      <alignment/>
    </xf>
    <xf numFmtId="164" fontId="35" fillId="34" borderId="15" xfId="0" applyNumberFormat="1" applyFont="1" applyFill="1" applyBorder="1" applyAlignment="1">
      <alignment/>
    </xf>
    <xf numFmtId="164" fontId="35" fillId="34" borderId="10" xfId="0" applyNumberFormat="1" applyFont="1" applyFill="1" applyBorder="1" applyAlignment="1">
      <alignment/>
    </xf>
    <xf numFmtId="164" fontId="34" fillId="34" borderId="12" xfId="0" applyNumberFormat="1" applyFont="1" applyFill="1" applyBorder="1" applyAlignment="1">
      <alignment/>
    </xf>
    <xf numFmtId="164" fontId="34" fillId="34" borderId="10" xfId="0" applyNumberFormat="1" applyFont="1" applyFill="1" applyBorder="1" applyAlignment="1">
      <alignment horizontal="right"/>
    </xf>
    <xf numFmtId="164" fontId="34" fillId="34" borderId="10" xfId="42" applyNumberFormat="1" applyFont="1" applyFill="1" applyBorder="1" applyAlignment="1">
      <alignment horizontal="right"/>
    </xf>
    <xf numFmtId="164" fontId="35" fillId="34" borderId="13" xfId="0" applyNumberFormat="1" applyFont="1" applyFill="1" applyBorder="1" applyAlignment="1">
      <alignment/>
    </xf>
    <xf numFmtId="164" fontId="35" fillId="34" borderId="11" xfId="0" applyNumberFormat="1" applyFont="1" applyFill="1" applyBorder="1" applyAlignment="1">
      <alignment/>
    </xf>
    <xf numFmtId="164" fontId="36" fillId="34" borderId="0" xfId="0" applyNumberFormat="1" applyFont="1" applyFill="1" applyAlignment="1">
      <alignment/>
    </xf>
    <xf numFmtId="164" fontId="34" fillId="34" borderId="0" xfId="0" applyNumberFormat="1" applyFont="1" applyFill="1" applyBorder="1" applyAlignment="1">
      <alignment/>
    </xf>
    <xf numFmtId="164" fontId="34" fillId="34" borderId="11" xfId="42" applyNumberFormat="1" applyFont="1" applyFill="1" applyBorder="1" applyAlignment="1">
      <alignment horizontal="right"/>
    </xf>
    <xf numFmtId="43" fontId="34" fillId="34" borderId="10" xfId="0" applyNumberFormat="1" applyFont="1" applyFill="1" applyBorder="1" applyAlignment="1">
      <alignment horizontal="right"/>
    </xf>
    <xf numFmtId="43" fontId="35" fillId="34" borderId="10" xfId="0" applyNumberFormat="1" applyFont="1" applyFill="1" applyBorder="1" applyAlignment="1">
      <alignment/>
    </xf>
    <xf numFmtId="43" fontId="34" fillId="34" borderId="10" xfId="0" applyNumberFormat="1" applyFont="1" applyFill="1" applyBorder="1" applyAlignment="1">
      <alignment/>
    </xf>
    <xf numFmtId="43" fontId="35" fillId="34" borderId="11" xfId="0" applyNumberFormat="1" applyFont="1" applyFill="1" applyBorder="1" applyAlignment="1">
      <alignment/>
    </xf>
    <xf numFmtId="164" fontId="34" fillId="34" borderId="11" xfId="0" applyNumberFormat="1" applyFont="1" applyFill="1" applyBorder="1" applyAlignment="1">
      <alignment/>
    </xf>
    <xf numFmtId="164" fontId="34" fillId="34" borderId="10" xfId="42" applyNumberFormat="1" applyFont="1" applyFill="1" applyBorder="1" applyAlignment="1">
      <alignment/>
    </xf>
    <xf numFmtId="43" fontId="34" fillId="34" borderId="0" xfId="0" applyNumberFormat="1" applyFont="1" applyFill="1" applyAlignment="1">
      <alignment/>
    </xf>
    <xf numFmtId="43" fontId="4" fillId="0" borderId="0" xfId="0" applyFont="1" applyAlignment="1">
      <alignment/>
    </xf>
    <xf numFmtId="43" fontId="34" fillId="34" borderId="11" xfId="0" applyNumberFormat="1" applyFont="1" applyFill="1" applyBorder="1" applyAlignment="1">
      <alignment/>
    </xf>
    <xf numFmtId="164" fontId="34" fillId="34" borderId="15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35" fillId="34" borderId="0" xfId="0" applyNumberFormat="1" applyFont="1" applyFill="1" applyBorder="1" applyAlignment="1">
      <alignment/>
    </xf>
    <xf numFmtId="1" fontId="35" fillId="34" borderId="0" xfId="0" applyNumberFormat="1" applyFont="1" applyFill="1" applyBorder="1" applyAlignment="1">
      <alignment/>
    </xf>
    <xf numFmtId="164" fontId="35" fillId="34" borderId="0" xfId="0" applyNumberFormat="1" applyFont="1" applyFill="1" applyBorder="1" applyAlignment="1">
      <alignment horizontal="right"/>
    </xf>
    <xf numFmtId="164" fontId="31" fillId="0" borderId="12" xfId="0" applyNumberFormat="1" applyFont="1" applyFill="1" applyBorder="1" applyAlignment="1">
      <alignment/>
    </xf>
    <xf numFmtId="164" fontId="31" fillId="34" borderId="10" xfId="42" applyNumberFormat="1" applyFont="1" applyFill="1" applyBorder="1" applyAlignment="1">
      <alignment/>
    </xf>
    <xf numFmtId="164" fontId="31" fillId="34" borderId="12" xfId="0" applyNumberFormat="1" applyFont="1" applyFill="1" applyBorder="1" applyAlignment="1">
      <alignment/>
    </xf>
    <xf numFmtId="164" fontId="31" fillId="34" borderId="10" xfId="0" applyNumberFormat="1" applyFont="1" applyFill="1" applyBorder="1" applyAlignment="1">
      <alignment/>
    </xf>
    <xf numFmtId="164" fontId="32" fillId="0" borderId="15" xfId="0" applyNumberFormat="1" applyFont="1" applyFill="1" applyBorder="1" applyAlignment="1">
      <alignment wrapText="1"/>
    </xf>
    <xf numFmtId="10" fontId="31" fillId="34" borderId="17" xfId="42" applyNumberFormat="1" applyFont="1" applyFill="1" applyBorder="1" applyAlignment="1">
      <alignment/>
    </xf>
    <xf numFmtId="164" fontId="32" fillId="34" borderId="10" xfId="0" applyNumberFormat="1" applyFont="1" applyFill="1" applyBorder="1" applyAlignment="1">
      <alignment wrapText="1"/>
    </xf>
    <xf numFmtId="164" fontId="32" fillId="34" borderId="15" xfId="0" applyNumberFormat="1" applyFont="1" applyFill="1" applyBorder="1" applyAlignment="1">
      <alignment wrapText="1"/>
    </xf>
    <xf numFmtId="43" fontId="32" fillId="34" borderId="10" xfId="0" applyNumberFormat="1" applyFont="1" applyFill="1" applyBorder="1" applyAlignment="1">
      <alignment horizontal="right"/>
    </xf>
    <xf numFmtId="10" fontId="32" fillId="34" borderId="10" xfId="0" applyNumberFormat="1" applyFont="1" applyFill="1" applyBorder="1" applyAlignment="1">
      <alignment wrapText="1"/>
    </xf>
    <xf numFmtId="43" fontId="35" fillId="0" borderId="11" xfId="0" applyFont="1" applyFill="1" applyBorder="1" applyAlignment="1">
      <alignment/>
    </xf>
    <xf numFmtId="164" fontId="35" fillId="0" borderId="11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43" fontId="35" fillId="0" borderId="17" xfId="0" applyFont="1" applyFill="1" applyBorder="1" applyAlignment="1">
      <alignment/>
    </xf>
    <xf numFmtId="43" fontId="35" fillId="0" borderId="18" xfId="0" applyFont="1" applyFill="1" applyBorder="1" applyAlignment="1">
      <alignment/>
    </xf>
    <xf numFmtId="43" fontId="32" fillId="0" borderId="0" xfId="0" applyFont="1" applyFill="1" applyAlignment="1">
      <alignment/>
    </xf>
    <xf numFmtId="43" fontId="37" fillId="0" borderId="0" xfId="0" applyFont="1" applyFill="1" applyAlignment="1">
      <alignment/>
    </xf>
    <xf numFmtId="164" fontId="35" fillId="35" borderId="10" xfId="0" applyNumberFormat="1" applyFont="1" applyFill="1" applyBorder="1" applyAlignment="1">
      <alignment/>
    </xf>
    <xf numFmtId="43" fontId="35" fillId="35" borderId="11" xfId="0" applyFont="1" applyFill="1" applyBorder="1" applyAlignment="1">
      <alignment/>
    </xf>
    <xf numFmtId="43" fontId="35" fillId="35" borderId="10" xfId="0" applyFont="1" applyFill="1" applyBorder="1" applyAlignment="1">
      <alignment wrapText="1"/>
    </xf>
    <xf numFmtId="43" fontId="35" fillId="35" borderId="10" xfId="0" applyFont="1" applyFill="1" applyBorder="1" applyAlignment="1">
      <alignment/>
    </xf>
    <xf numFmtId="1" fontId="35" fillId="35" borderId="16" xfId="0" applyNumberFormat="1" applyFont="1" applyFill="1" applyBorder="1" applyAlignment="1">
      <alignment/>
    </xf>
    <xf numFmtId="43" fontId="32" fillId="35" borderId="0" xfId="0" applyFont="1" applyFill="1" applyAlignment="1">
      <alignment/>
    </xf>
    <xf numFmtId="43" fontId="37" fillId="35" borderId="0" xfId="0" applyFont="1" applyFill="1" applyAlignment="1">
      <alignment/>
    </xf>
    <xf numFmtId="164" fontId="34" fillId="35" borderId="14" xfId="0" applyNumberFormat="1" applyFont="1" applyFill="1" applyBorder="1" applyAlignment="1">
      <alignment/>
    </xf>
    <xf numFmtId="164" fontId="34" fillId="35" borderId="10" xfId="0" applyNumberFormat="1" applyFont="1" applyFill="1" applyBorder="1" applyAlignment="1">
      <alignment/>
    </xf>
    <xf numFmtId="43" fontId="34" fillId="35" borderId="16" xfId="0" applyFont="1" applyFill="1" applyBorder="1" applyAlignment="1">
      <alignment/>
    </xf>
    <xf numFmtId="43" fontId="34" fillId="35" borderId="10" xfId="0" applyFont="1" applyFill="1" applyBorder="1" applyAlignment="1">
      <alignment/>
    </xf>
    <xf numFmtId="43" fontId="1" fillId="35" borderId="0" xfId="0" applyFont="1" applyFill="1" applyAlignment="1">
      <alignment/>
    </xf>
    <xf numFmtId="43" fontId="0" fillId="35" borderId="0" xfId="0" applyFill="1" applyAlignment="1">
      <alignment/>
    </xf>
    <xf numFmtId="164" fontId="34" fillId="35" borderId="12" xfId="0" applyNumberFormat="1" applyFont="1" applyFill="1" applyBorder="1" applyAlignment="1">
      <alignment/>
    </xf>
    <xf numFmtId="43" fontId="0" fillId="35" borderId="0" xfId="0" applyFont="1" applyFill="1" applyAlignment="1">
      <alignment/>
    </xf>
    <xf numFmtId="1" fontId="0" fillId="35" borderId="0" xfId="0" applyNumberFormat="1" applyFont="1" applyFill="1" applyAlignment="1">
      <alignment/>
    </xf>
    <xf numFmtId="164" fontId="0" fillId="35" borderId="0" xfId="0" applyNumberFormat="1" applyFont="1" applyFill="1" applyAlignment="1">
      <alignment/>
    </xf>
    <xf numFmtId="164" fontId="0" fillId="35" borderId="0" xfId="0" applyNumberFormat="1" applyFont="1" applyFill="1" applyAlignment="1">
      <alignment horizontal="left" indent="2"/>
    </xf>
    <xf numFmtId="164" fontId="4" fillId="35" borderId="12" xfId="0" applyNumberFormat="1" applyFont="1" applyFill="1" applyBorder="1" applyAlignment="1">
      <alignment/>
    </xf>
    <xf numFmtId="43" fontId="4" fillId="35" borderId="10" xfId="0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164" fontId="35" fillId="35" borderId="13" xfId="0" applyNumberFormat="1" applyFont="1" applyFill="1" applyBorder="1" applyAlignment="1">
      <alignment/>
    </xf>
    <xf numFmtId="164" fontId="35" fillId="35" borderId="11" xfId="0" applyNumberFormat="1" applyFont="1" applyFill="1" applyBorder="1" applyAlignment="1">
      <alignment/>
    </xf>
    <xf numFmtId="43" fontId="35" fillId="35" borderId="19" xfId="0" applyFont="1" applyFill="1" applyBorder="1" applyAlignment="1">
      <alignment/>
    </xf>
    <xf numFmtId="164" fontId="4" fillId="35" borderId="0" xfId="0" applyNumberFormat="1" applyFont="1" applyFill="1" applyAlignment="1">
      <alignment/>
    </xf>
    <xf numFmtId="43" fontId="4" fillId="35" borderId="0" xfId="0" applyFont="1" applyFill="1" applyAlignment="1">
      <alignment/>
    </xf>
    <xf numFmtId="43" fontId="4" fillId="35" borderId="0" xfId="0" applyFont="1" applyFill="1" applyBorder="1" applyAlignment="1">
      <alignment/>
    </xf>
    <xf numFmtId="43" fontId="35" fillId="35" borderId="11" xfId="0" applyFont="1" applyFill="1" applyBorder="1" applyAlignment="1">
      <alignment horizontal="left"/>
    </xf>
    <xf numFmtId="164" fontId="35" fillId="35" borderId="15" xfId="0" applyNumberFormat="1" applyFont="1" applyFill="1" applyBorder="1" applyAlignment="1">
      <alignment/>
    </xf>
    <xf numFmtId="43" fontId="35" fillId="35" borderId="15" xfId="0" applyFont="1" applyFill="1" applyBorder="1" applyAlignment="1">
      <alignment/>
    </xf>
    <xf numFmtId="43" fontId="35" fillId="35" borderId="15" xfId="0" applyFont="1" applyFill="1" applyBorder="1" applyAlignment="1">
      <alignment horizontal="left"/>
    </xf>
    <xf numFmtId="43" fontId="4" fillId="35" borderId="10" xfId="0" applyFont="1" applyFill="1" applyBorder="1" applyAlignment="1">
      <alignment/>
    </xf>
    <xf numFmtId="1" fontId="0" fillId="35" borderId="0" xfId="0" applyNumberFormat="1" applyFill="1" applyAlignment="1">
      <alignment/>
    </xf>
    <xf numFmtId="164" fontId="0" fillId="35" borderId="0" xfId="0" applyNumberFormat="1" applyFill="1" applyAlignment="1">
      <alignment horizontal="left" indent="2"/>
    </xf>
    <xf numFmtId="2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43" fontId="5" fillId="35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43" fontId="5" fillId="35" borderId="10" xfId="0" applyFont="1" applyFill="1" applyBorder="1" applyAlignment="1">
      <alignment/>
    </xf>
    <xf numFmtId="43" fontId="2" fillId="35" borderId="0" xfId="0" applyFont="1" applyFill="1" applyAlignment="1">
      <alignment/>
    </xf>
    <xf numFmtId="43" fontId="3" fillId="35" borderId="0" xfId="0" applyFont="1" applyFill="1" applyAlignment="1">
      <alignment/>
    </xf>
    <xf numFmtId="164" fontId="34" fillId="35" borderId="10" xfId="42" applyNumberFormat="1" applyFont="1" applyFill="1" applyBorder="1" applyAlignment="1">
      <alignment horizontal="center"/>
    </xf>
    <xf numFmtId="164" fontId="4" fillId="35" borderId="10" xfId="42" applyNumberFormat="1" applyFont="1" applyFill="1" applyBorder="1" applyAlignment="1">
      <alignment/>
    </xf>
    <xf numFmtId="43" fontId="34" fillId="34" borderId="10" xfId="0" applyFont="1" applyFill="1" applyBorder="1" applyAlignment="1">
      <alignment/>
    </xf>
    <xf numFmtId="164" fontId="31" fillId="0" borderId="10" xfId="42" applyNumberFormat="1" applyFont="1" applyFill="1" applyBorder="1" applyAlignment="1">
      <alignment/>
    </xf>
    <xf numFmtId="164" fontId="31" fillId="34" borderId="16" xfId="42" applyNumberFormat="1" applyFont="1" applyFill="1" applyBorder="1" applyAlignment="1">
      <alignment/>
    </xf>
    <xf numFmtId="164" fontId="31" fillId="34" borderId="15" xfId="44" applyNumberFormat="1" applyFont="1" applyFill="1" applyBorder="1" applyAlignment="1">
      <alignment/>
    </xf>
    <xf numFmtId="164" fontId="31" fillId="34" borderId="10" xfId="44" applyNumberFormat="1" applyFont="1" applyFill="1" applyBorder="1" applyAlignment="1">
      <alignment/>
    </xf>
    <xf numFmtId="164" fontId="31" fillId="34" borderId="10" xfId="44" applyNumberFormat="1" applyFont="1" applyFill="1" applyBorder="1" applyAlignment="1">
      <alignment horizontal="center"/>
    </xf>
    <xf numFmtId="164" fontId="31" fillId="34" borderId="10" xfId="44" applyNumberFormat="1" applyFont="1" applyFill="1" applyBorder="1" applyAlignment="1">
      <alignment horizontal="right"/>
    </xf>
    <xf numFmtId="43" fontId="35" fillId="34" borderId="10" xfId="0" applyNumberFormat="1" applyFont="1" applyFill="1" applyBorder="1" applyAlignment="1">
      <alignment horizontal="right"/>
    </xf>
    <xf numFmtId="164" fontId="35" fillId="34" borderId="19" xfId="42" applyNumberFormat="1" applyFont="1" applyFill="1" applyBorder="1" applyAlignment="1">
      <alignment/>
    </xf>
    <xf numFmtId="164" fontId="35" fillId="34" borderId="20" xfId="0" applyNumberFormat="1" applyFont="1" applyFill="1" applyBorder="1" applyAlignment="1">
      <alignment/>
    </xf>
    <xf numFmtId="164" fontId="35" fillId="34" borderId="21" xfId="0" applyNumberFormat="1" applyFont="1" applyFill="1" applyBorder="1" applyAlignment="1">
      <alignment/>
    </xf>
    <xf numFmtId="164" fontId="35" fillId="34" borderId="22" xfId="0" applyNumberFormat="1" applyFont="1" applyFill="1" applyBorder="1" applyAlignment="1">
      <alignment/>
    </xf>
    <xf numFmtId="164" fontId="35" fillId="34" borderId="23" xfId="0" applyNumberFormat="1" applyFont="1" applyFill="1" applyBorder="1" applyAlignment="1">
      <alignment/>
    </xf>
    <xf numFmtId="164" fontId="34" fillId="34" borderId="14" xfId="0" applyNumberFormat="1" applyFont="1" applyFill="1" applyBorder="1" applyAlignment="1">
      <alignment/>
    </xf>
    <xf numFmtId="164" fontId="34" fillId="34" borderId="21" xfId="0" applyNumberFormat="1" applyFont="1" applyFill="1" applyBorder="1" applyAlignment="1">
      <alignment/>
    </xf>
    <xf numFmtId="164" fontId="32" fillId="0" borderId="16" xfId="42" applyNumberFormat="1" applyFont="1" applyFill="1" applyBorder="1" applyAlignment="1">
      <alignment/>
    </xf>
    <xf numFmtId="164" fontId="32" fillId="0" borderId="10" xfId="0" applyNumberFormat="1" applyFont="1" applyFill="1" applyBorder="1" applyAlignment="1">
      <alignment/>
    </xf>
    <xf numFmtId="164" fontId="32" fillId="0" borderId="11" xfId="0" applyNumberFormat="1" applyFont="1" applyFill="1" applyBorder="1" applyAlignment="1">
      <alignment/>
    </xf>
    <xf numFmtId="43" fontId="32" fillId="34" borderId="10" xfId="42" applyFont="1" applyFill="1" applyBorder="1" applyAlignment="1">
      <alignment horizontal="right"/>
    </xf>
    <xf numFmtId="164" fontId="32" fillId="34" borderId="22" xfId="0" applyNumberFormat="1" applyFont="1" applyFill="1" applyBorder="1" applyAlignment="1">
      <alignment/>
    </xf>
    <xf numFmtId="164" fontId="32" fillId="34" borderId="23" xfId="0" applyNumberFormat="1" applyFont="1" applyFill="1" applyBorder="1" applyAlignment="1">
      <alignment/>
    </xf>
    <xf numFmtId="43" fontId="32" fillId="34" borderId="24" xfId="0" applyNumberFormat="1" applyFont="1" applyFill="1" applyBorder="1" applyAlignment="1">
      <alignment/>
    </xf>
    <xf numFmtId="43" fontId="32" fillId="34" borderId="16" xfId="0" applyNumberFormat="1" applyFont="1" applyFill="1" applyBorder="1" applyAlignment="1">
      <alignment/>
    </xf>
    <xf numFmtId="43" fontId="32" fillId="34" borderId="23" xfId="0" applyNumberFormat="1" applyFont="1" applyFill="1" applyBorder="1" applyAlignment="1">
      <alignment/>
    </xf>
    <xf numFmtId="43" fontId="32" fillId="34" borderId="25" xfId="0" applyNumberFormat="1" applyFont="1" applyFill="1" applyBorder="1" applyAlignment="1">
      <alignment/>
    </xf>
    <xf numFmtId="164" fontId="31" fillId="34" borderId="26" xfId="0" applyNumberFormat="1" applyFont="1" applyFill="1" applyBorder="1" applyAlignment="1">
      <alignment/>
    </xf>
    <xf numFmtId="164" fontId="31" fillId="34" borderId="24" xfId="0" applyNumberFormat="1" applyFont="1" applyFill="1" applyBorder="1" applyAlignment="1">
      <alignment/>
    </xf>
    <xf numFmtId="43" fontId="31" fillId="34" borderId="24" xfId="0" applyNumberFormat="1" applyFont="1" applyFill="1" applyBorder="1" applyAlignment="1">
      <alignment/>
    </xf>
    <xf numFmtId="43" fontId="32" fillId="34" borderId="27" xfId="0" applyNumberFormat="1" applyFont="1" applyFill="1" applyBorder="1" applyAlignment="1">
      <alignment/>
    </xf>
    <xf numFmtId="164" fontId="31" fillId="34" borderId="28" xfId="0" applyNumberFormat="1" applyFont="1" applyFill="1" applyBorder="1" applyAlignment="1">
      <alignment/>
    </xf>
    <xf numFmtId="164" fontId="31" fillId="34" borderId="29" xfId="0" applyNumberFormat="1" applyFont="1" applyFill="1" applyBorder="1" applyAlignment="1">
      <alignment/>
    </xf>
    <xf numFmtId="43" fontId="31" fillId="34" borderId="29" xfId="0" applyNumberFormat="1" applyFont="1" applyFill="1" applyBorder="1" applyAlignment="1">
      <alignment/>
    </xf>
    <xf numFmtId="43" fontId="32" fillId="34" borderId="29" xfId="0" applyNumberFormat="1" applyFont="1" applyFill="1" applyBorder="1" applyAlignment="1">
      <alignment/>
    </xf>
    <xf numFmtId="43" fontId="32" fillId="34" borderId="30" xfId="0" applyNumberFormat="1" applyFont="1" applyFill="1" applyBorder="1" applyAlignment="1">
      <alignment/>
    </xf>
    <xf numFmtId="164" fontId="32" fillId="34" borderId="16" xfId="0" applyNumberFormat="1" applyFont="1" applyFill="1" applyBorder="1" applyAlignment="1">
      <alignment/>
    </xf>
    <xf numFmtId="10" fontId="32" fillId="34" borderId="10" xfId="42" applyNumberFormat="1" applyFont="1" applyFill="1" applyBorder="1" applyAlignment="1">
      <alignment/>
    </xf>
    <xf numFmtId="164" fontId="4" fillId="35" borderId="10" xfId="42" applyNumberFormat="1" applyFont="1" applyFill="1" applyBorder="1" applyAlignment="1">
      <alignment horizontal="left"/>
    </xf>
    <xf numFmtId="2" fontId="4" fillId="35" borderId="16" xfId="0" applyNumberFormat="1" applyFont="1" applyFill="1" applyBorder="1" applyAlignment="1">
      <alignment/>
    </xf>
    <xf numFmtId="43" fontId="3" fillId="34" borderId="0" xfId="0" applyFont="1" applyFill="1" applyAlignment="1">
      <alignment/>
    </xf>
    <xf numFmtId="43" fontId="31" fillId="34" borderId="17" xfId="42" applyFont="1" applyFill="1" applyBorder="1" applyAlignment="1">
      <alignment/>
    </xf>
    <xf numFmtId="10" fontId="32" fillId="34" borderId="10" xfId="42" applyNumberFormat="1" applyFont="1" applyFill="1" applyBorder="1" applyAlignment="1">
      <alignment horizontal="center"/>
    </xf>
    <xf numFmtId="164" fontId="31" fillId="34" borderId="22" xfId="0" applyNumberFormat="1" applyFont="1" applyFill="1" applyBorder="1" applyAlignment="1">
      <alignment/>
    </xf>
    <xf numFmtId="164" fontId="31" fillId="34" borderId="23" xfId="0" applyNumberFormat="1" applyFont="1" applyFill="1" applyBorder="1" applyAlignment="1">
      <alignment/>
    </xf>
    <xf numFmtId="164" fontId="34" fillId="34" borderId="31" xfId="0" applyNumberFormat="1" applyFont="1" applyFill="1" applyBorder="1" applyAlignment="1">
      <alignment/>
    </xf>
    <xf numFmtId="43" fontId="3" fillId="34" borderId="0" xfId="65" applyFont="1" applyFill="1">
      <alignment/>
      <protection/>
    </xf>
    <xf numFmtId="164" fontId="38" fillId="34" borderId="0" xfId="65" applyNumberFormat="1" applyFont="1" applyFill="1">
      <alignment/>
      <protection/>
    </xf>
    <xf numFmtId="164" fontId="38" fillId="34" borderId="0" xfId="65" applyNumberFormat="1" applyFont="1" applyFill="1" applyAlignment="1">
      <alignment horizontal="center"/>
      <protection/>
    </xf>
    <xf numFmtId="164" fontId="38" fillId="34" borderId="0" xfId="65" applyNumberFormat="1" applyFont="1" applyFill="1" applyAlignment="1">
      <alignment horizontal="right"/>
      <protection/>
    </xf>
    <xf numFmtId="43" fontId="38" fillId="34" borderId="0" xfId="65" applyFont="1" applyFill="1">
      <alignment/>
      <protection/>
    </xf>
    <xf numFmtId="43" fontId="3" fillId="34" borderId="0" xfId="65" applyFont="1" applyFill="1" applyAlignment="1">
      <alignment horizontal="right"/>
      <protection/>
    </xf>
    <xf numFmtId="164" fontId="38" fillId="34" borderId="32" xfId="65" applyNumberFormat="1" applyFont="1" applyFill="1" applyBorder="1">
      <alignment/>
      <protection/>
    </xf>
    <xf numFmtId="164" fontId="38" fillId="34" borderId="33" xfId="65" applyNumberFormat="1" applyFont="1" applyFill="1" applyBorder="1">
      <alignment/>
      <protection/>
    </xf>
    <xf numFmtId="164" fontId="38" fillId="34" borderId="33" xfId="65" applyNumberFormat="1" applyFont="1" applyFill="1" applyBorder="1" applyAlignment="1">
      <alignment horizontal="center"/>
      <protection/>
    </xf>
    <xf numFmtId="164" fontId="38" fillId="34" borderId="33" xfId="65" applyNumberFormat="1" applyFont="1" applyFill="1" applyBorder="1" applyAlignment="1">
      <alignment horizontal="right"/>
      <protection/>
    </xf>
    <xf numFmtId="43" fontId="7" fillId="34" borderId="0" xfId="65" applyFont="1" applyFill="1">
      <alignment/>
      <protection/>
    </xf>
    <xf numFmtId="164" fontId="39" fillId="34" borderId="34" xfId="65" applyNumberFormat="1" applyFont="1" applyFill="1" applyBorder="1">
      <alignment/>
      <protection/>
    </xf>
    <xf numFmtId="164" fontId="39" fillId="34" borderId="35" xfId="65" applyNumberFormat="1" applyFont="1" applyFill="1" applyBorder="1">
      <alignment/>
      <protection/>
    </xf>
    <xf numFmtId="164" fontId="39" fillId="34" borderId="35" xfId="65" applyNumberFormat="1" applyFont="1" applyFill="1" applyBorder="1" applyAlignment="1">
      <alignment horizontal="center"/>
      <protection/>
    </xf>
    <xf numFmtId="164" fontId="38" fillId="34" borderId="35" xfId="65" applyNumberFormat="1" applyFont="1" applyFill="1" applyBorder="1" applyAlignment="1">
      <alignment horizontal="right"/>
      <protection/>
    </xf>
    <xf numFmtId="43" fontId="0" fillId="34" borderId="0" xfId="65" applyFont="1" applyFill="1">
      <alignment/>
      <protection/>
    </xf>
    <xf numFmtId="43" fontId="8" fillId="34" borderId="0" xfId="65" applyFont="1" applyFill="1">
      <alignment/>
      <protection/>
    </xf>
    <xf numFmtId="164" fontId="39" fillId="34" borderId="36" xfId="65" applyNumberFormat="1" applyFont="1" applyFill="1" applyBorder="1">
      <alignment/>
      <protection/>
    </xf>
    <xf numFmtId="164" fontId="39" fillId="34" borderId="31" xfId="65" applyNumberFormat="1" applyFont="1" applyFill="1" applyBorder="1">
      <alignment/>
      <protection/>
    </xf>
    <xf numFmtId="164" fontId="39" fillId="34" borderId="31" xfId="65" applyNumberFormat="1" applyFont="1" applyFill="1" applyBorder="1" applyAlignment="1">
      <alignment horizontal="center"/>
      <protection/>
    </xf>
    <xf numFmtId="164" fontId="38" fillId="34" borderId="31" xfId="65" applyNumberFormat="1" applyFont="1" applyFill="1" applyBorder="1" applyAlignment="1">
      <alignment horizontal="right"/>
      <protection/>
    </xf>
    <xf numFmtId="164" fontId="39" fillId="34" borderId="31" xfId="44" applyNumberFormat="1" applyFont="1" applyFill="1" applyBorder="1" applyAlignment="1">
      <alignment horizontal="center"/>
    </xf>
    <xf numFmtId="164" fontId="39" fillId="34" borderId="37" xfId="65" applyNumberFormat="1" applyFont="1" applyFill="1" applyBorder="1">
      <alignment/>
      <protection/>
    </xf>
    <xf numFmtId="164" fontId="39" fillId="34" borderId="38" xfId="65" applyNumberFormat="1" applyFont="1" applyFill="1" applyBorder="1">
      <alignment/>
      <protection/>
    </xf>
    <xf numFmtId="164" fontId="39" fillId="34" borderId="38" xfId="65" applyNumberFormat="1" applyFont="1" applyFill="1" applyBorder="1" applyAlignment="1">
      <alignment horizontal="center"/>
      <protection/>
    </xf>
    <xf numFmtId="164" fontId="38" fillId="34" borderId="38" xfId="65" applyNumberFormat="1" applyFont="1" applyFill="1" applyBorder="1" applyAlignment="1">
      <alignment horizontal="right"/>
      <protection/>
    </xf>
    <xf numFmtId="164" fontId="38" fillId="34" borderId="39" xfId="65" applyNumberFormat="1" applyFont="1" applyFill="1" applyBorder="1">
      <alignment/>
      <protection/>
    </xf>
    <xf numFmtId="164" fontId="38" fillId="34" borderId="40" xfId="65" applyNumberFormat="1" applyFont="1" applyFill="1" applyBorder="1">
      <alignment/>
      <protection/>
    </xf>
    <xf numFmtId="164" fontId="38" fillId="34" borderId="40" xfId="65" applyNumberFormat="1" applyFont="1" applyFill="1" applyBorder="1" applyAlignment="1">
      <alignment horizontal="center"/>
      <protection/>
    </xf>
    <xf numFmtId="164" fontId="38" fillId="34" borderId="40" xfId="65" applyNumberFormat="1" applyFont="1" applyFill="1" applyBorder="1" applyAlignment="1">
      <alignment horizontal="right"/>
      <protection/>
    </xf>
    <xf numFmtId="164" fontId="39" fillId="34" borderId="0" xfId="65" applyNumberFormat="1" applyFont="1" applyFill="1">
      <alignment/>
      <protection/>
    </xf>
    <xf numFmtId="164" fontId="39" fillId="34" borderId="0" xfId="65" applyNumberFormat="1" applyFont="1" applyFill="1" applyAlignment="1">
      <alignment horizontal="center"/>
      <protection/>
    </xf>
    <xf numFmtId="164" fontId="39" fillId="34" borderId="0" xfId="65" applyNumberFormat="1" applyFont="1" applyFill="1" applyAlignment="1">
      <alignment horizontal="right"/>
      <protection/>
    </xf>
    <xf numFmtId="164" fontId="38" fillId="34" borderId="0" xfId="65" applyNumberFormat="1" applyFont="1" applyFill="1" applyAlignment="1">
      <alignment horizontal="left"/>
      <protection/>
    </xf>
    <xf numFmtId="164" fontId="38" fillId="34" borderId="41" xfId="65" applyNumberFormat="1" applyFont="1" applyFill="1" applyBorder="1">
      <alignment/>
      <protection/>
    </xf>
    <xf numFmtId="164" fontId="38" fillId="34" borderId="42" xfId="65" applyNumberFormat="1" applyFont="1" applyFill="1" applyBorder="1">
      <alignment/>
      <protection/>
    </xf>
    <xf numFmtId="164" fontId="38" fillId="34" borderId="42" xfId="65" applyNumberFormat="1" applyFont="1" applyFill="1" applyBorder="1" applyAlignment="1">
      <alignment horizontal="center"/>
      <protection/>
    </xf>
    <xf numFmtId="164" fontId="38" fillId="34" borderId="42" xfId="65" applyNumberFormat="1" applyFont="1" applyFill="1" applyBorder="1" applyAlignment="1">
      <alignment horizontal="right"/>
      <protection/>
    </xf>
    <xf numFmtId="164" fontId="39" fillId="34" borderId="31" xfId="65" applyNumberFormat="1" applyFont="1" applyFill="1" applyBorder="1" applyAlignment="1">
      <alignment horizontal="right"/>
      <protection/>
    </xf>
    <xf numFmtId="2" fontId="39" fillId="34" borderId="35" xfId="65" applyNumberFormat="1" applyFont="1" applyFill="1" applyBorder="1" applyAlignment="1">
      <alignment horizontal="center"/>
      <protection/>
    </xf>
    <xf numFmtId="2" fontId="39" fillId="34" borderId="35" xfId="65" applyNumberFormat="1" applyFont="1" applyFill="1" applyBorder="1" applyAlignment="1">
      <alignment horizontal="right"/>
      <protection/>
    </xf>
    <xf numFmtId="2" fontId="39" fillId="34" borderId="31" xfId="65" applyNumberFormat="1" applyFont="1" applyFill="1" applyBorder="1" applyAlignment="1">
      <alignment horizontal="center"/>
      <protection/>
    </xf>
    <xf numFmtId="2" fontId="39" fillId="34" borderId="31" xfId="68" applyNumberFormat="1" applyFont="1" applyFill="1" applyBorder="1" applyAlignment="1">
      <alignment horizontal="right"/>
    </xf>
    <xf numFmtId="2" fontId="39" fillId="34" borderId="38" xfId="65" applyNumberFormat="1" applyFont="1" applyFill="1" applyBorder="1" applyAlignment="1">
      <alignment horizontal="center"/>
      <protection/>
    </xf>
    <xf numFmtId="2" fontId="39" fillId="34" borderId="38" xfId="68" applyNumberFormat="1" applyFont="1" applyFill="1" applyBorder="1" applyAlignment="1">
      <alignment horizontal="right"/>
    </xf>
    <xf numFmtId="2" fontId="39" fillId="34" borderId="35" xfId="68" applyNumberFormat="1" applyFont="1" applyFill="1" applyBorder="1" applyAlignment="1">
      <alignment horizontal="right"/>
    </xf>
    <xf numFmtId="43" fontId="39" fillId="34" borderId="35" xfId="65" applyNumberFormat="1" applyFont="1" applyFill="1" applyBorder="1" applyAlignment="1">
      <alignment horizontal="center"/>
      <protection/>
    </xf>
    <xf numFmtId="43" fontId="39" fillId="34" borderId="35" xfId="65" applyNumberFormat="1" applyFont="1" applyFill="1" applyBorder="1" applyAlignment="1">
      <alignment horizontal="right"/>
      <protection/>
    </xf>
    <xf numFmtId="43" fontId="39" fillId="34" borderId="31" xfId="65" applyNumberFormat="1" applyFont="1" applyFill="1" applyBorder="1" applyAlignment="1">
      <alignment horizontal="center"/>
      <protection/>
    </xf>
    <xf numFmtId="43" fontId="39" fillId="34" borderId="31" xfId="65" applyNumberFormat="1" applyFont="1" applyFill="1" applyBorder="1" applyAlignment="1">
      <alignment horizontal="right"/>
      <protection/>
    </xf>
    <xf numFmtId="43" fontId="39" fillId="34" borderId="38" xfId="65" applyNumberFormat="1" applyFont="1" applyFill="1" applyBorder="1" applyAlignment="1">
      <alignment horizontal="center"/>
      <protection/>
    </xf>
    <xf numFmtId="43" fontId="39" fillId="34" borderId="38" xfId="65" applyNumberFormat="1" applyFont="1" applyFill="1" applyBorder="1" applyAlignment="1">
      <alignment horizontal="right"/>
      <protection/>
    </xf>
    <xf numFmtId="43" fontId="38" fillId="34" borderId="35" xfId="65" applyNumberFormat="1" applyFont="1" applyFill="1" applyBorder="1" applyAlignment="1">
      <alignment horizontal="right"/>
      <protection/>
    </xf>
    <xf numFmtId="43" fontId="38" fillId="34" borderId="31" xfId="65" applyNumberFormat="1" applyFont="1" applyFill="1" applyBorder="1" applyAlignment="1">
      <alignment horizontal="right"/>
      <protection/>
    </xf>
    <xf numFmtId="43" fontId="38" fillId="34" borderId="38" xfId="65" applyNumberFormat="1" applyFont="1" applyFill="1" applyBorder="1" applyAlignment="1">
      <alignment horizontal="right"/>
      <protection/>
    </xf>
    <xf numFmtId="43" fontId="38" fillId="34" borderId="42" xfId="65" applyNumberFormat="1" applyFont="1" applyFill="1" applyBorder="1" applyAlignment="1">
      <alignment horizontal="center"/>
      <protection/>
    </xf>
    <xf numFmtId="43" fontId="38" fillId="34" borderId="42" xfId="65" applyNumberFormat="1" applyFont="1" applyFill="1" applyBorder="1" applyAlignment="1">
      <alignment horizontal="right"/>
      <protection/>
    </xf>
    <xf numFmtId="164" fontId="40" fillId="0" borderId="0" xfId="44" applyNumberFormat="1" applyFont="1" applyAlignment="1">
      <alignment horizontal="right" vertical="center"/>
    </xf>
    <xf numFmtId="164" fontId="38" fillId="34" borderId="35" xfId="65" applyNumberFormat="1" applyFont="1" applyFill="1" applyBorder="1">
      <alignment/>
      <protection/>
    </xf>
    <xf numFmtId="164" fontId="38" fillId="34" borderId="31" xfId="65" applyNumberFormat="1" applyFont="1" applyFill="1" applyBorder="1">
      <alignment/>
      <protection/>
    </xf>
    <xf numFmtId="164" fontId="39" fillId="34" borderId="31" xfId="44" applyNumberFormat="1" applyFont="1" applyFill="1" applyBorder="1" applyAlignment="1">
      <alignment/>
    </xf>
    <xf numFmtId="164" fontId="38" fillId="34" borderId="38" xfId="65" applyNumberFormat="1" applyFont="1" applyFill="1" applyBorder="1">
      <alignment/>
      <protection/>
    </xf>
    <xf numFmtId="164" fontId="0" fillId="34" borderId="0" xfId="0" applyNumberFormat="1" applyFill="1" applyAlignment="1">
      <alignment/>
    </xf>
    <xf numFmtId="164" fontId="35" fillId="34" borderId="0" xfId="0" applyNumberFormat="1" applyFont="1" applyFill="1" applyAlignment="1">
      <alignment/>
    </xf>
    <xf numFmtId="164" fontId="35" fillId="34" borderId="43" xfId="0" applyNumberFormat="1" applyFont="1" applyFill="1" applyBorder="1" applyAlignment="1">
      <alignment/>
    </xf>
    <xf numFmtId="164" fontId="35" fillId="34" borderId="44" xfId="0" applyNumberFormat="1" applyFont="1" applyFill="1" applyBorder="1" applyAlignment="1">
      <alignment/>
    </xf>
    <xf numFmtId="164" fontId="34" fillId="34" borderId="44" xfId="0" applyNumberFormat="1" applyFont="1" applyFill="1" applyBorder="1" applyAlignment="1">
      <alignment/>
    </xf>
    <xf numFmtId="164" fontId="34" fillId="34" borderId="45" xfId="0" applyNumberFormat="1" applyFont="1" applyFill="1" applyBorder="1" applyAlignment="1">
      <alignment/>
    </xf>
    <xf numFmtId="164" fontId="35" fillId="34" borderId="46" xfId="0" applyNumberFormat="1" applyFont="1" applyFill="1" applyBorder="1" applyAlignment="1">
      <alignment/>
    </xf>
    <xf numFmtId="164" fontId="35" fillId="34" borderId="47" xfId="0" applyNumberFormat="1" applyFont="1" applyFill="1" applyBorder="1" applyAlignment="1">
      <alignment/>
    </xf>
    <xf numFmtId="164" fontId="34" fillId="34" borderId="31" xfId="44" applyNumberFormat="1" applyFont="1" applyFill="1" applyBorder="1" applyAlignment="1">
      <alignment/>
    </xf>
    <xf numFmtId="164" fontId="34" fillId="34" borderId="48" xfId="0" applyNumberFormat="1" applyFont="1" applyFill="1" applyBorder="1" applyAlignment="1">
      <alignment/>
    </xf>
    <xf numFmtId="164" fontId="34" fillId="34" borderId="48" xfId="44" applyNumberFormat="1" applyFont="1" applyFill="1" applyBorder="1" applyAlignment="1">
      <alignment/>
    </xf>
    <xf numFmtId="164" fontId="35" fillId="34" borderId="49" xfId="0" applyNumberFormat="1" applyFont="1" applyFill="1" applyBorder="1" applyAlignment="1">
      <alignment/>
    </xf>
    <xf numFmtId="164" fontId="35" fillId="34" borderId="33" xfId="0" applyNumberFormat="1" applyFont="1" applyFill="1" applyBorder="1" applyAlignment="1">
      <alignment/>
    </xf>
    <xf numFmtId="164" fontId="34" fillId="34" borderId="31" xfId="42" applyNumberFormat="1" applyFont="1" applyFill="1" applyBorder="1" applyAlignment="1">
      <alignment/>
    </xf>
    <xf numFmtId="164" fontId="0" fillId="34" borderId="0" xfId="65" applyNumberFormat="1" applyFont="1" applyFill="1">
      <alignment/>
      <protection/>
    </xf>
    <xf numFmtId="164" fontId="35" fillId="34" borderId="50" xfId="0" applyNumberFormat="1" applyFont="1" applyFill="1" applyBorder="1" applyAlignment="1">
      <alignment/>
    </xf>
    <xf numFmtId="164" fontId="35" fillId="34" borderId="16" xfId="0" applyNumberFormat="1" applyFont="1" applyFill="1" applyBorder="1" applyAlignment="1">
      <alignment/>
    </xf>
    <xf numFmtId="164" fontId="35" fillId="34" borderId="19" xfId="0" applyNumberFormat="1" applyFont="1" applyFill="1" applyBorder="1" applyAlignment="1">
      <alignment/>
    </xf>
    <xf numFmtId="164" fontId="35" fillId="34" borderId="0" xfId="42" applyNumberFormat="1" applyFont="1" applyFill="1" applyBorder="1" applyAlignment="1">
      <alignment horizontal="center"/>
    </xf>
    <xf numFmtId="10" fontId="32" fillId="0" borderId="17" xfId="42" applyNumberFormat="1" applyFont="1" applyFill="1" applyBorder="1" applyAlignment="1">
      <alignment/>
    </xf>
    <xf numFmtId="10" fontId="32" fillId="34" borderId="17" xfId="42" applyNumberFormat="1" applyFont="1" applyFill="1" applyBorder="1" applyAlignment="1">
      <alignment/>
    </xf>
    <xf numFmtId="10" fontId="32" fillId="0" borderId="10" xfId="42" applyNumberFormat="1" applyFont="1" applyFill="1" applyBorder="1" applyAlignment="1">
      <alignment/>
    </xf>
    <xf numFmtId="43" fontId="0" fillId="34" borderId="0" xfId="68" applyFont="1" applyFill="1" applyAlignment="1">
      <alignment/>
    </xf>
    <xf numFmtId="43" fontId="35" fillId="34" borderId="0" xfId="0" applyNumberFormat="1" applyFont="1" applyFill="1" applyBorder="1" applyAlignment="1">
      <alignment/>
    </xf>
    <xf numFmtId="43" fontId="35" fillId="34" borderId="0" xfId="0" applyNumberFormat="1" applyFont="1" applyFill="1" applyBorder="1" applyAlignment="1">
      <alignment horizontal="right"/>
    </xf>
    <xf numFmtId="164" fontId="34" fillId="34" borderId="0" xfId="42" applyNumberFormat="1" applyFont="1" applyFill="1" applyBorder="1" applyAlignment="1">
      <alignment/>
    </xf>
    <xf numFmtId="43" fontId="34" fillId="34" borderId="0" xfId="0" applyNumberFormat="1" applyFont="1" applyFill="1" applyBorder="1" applyAlignment="1">
      <alignment/>
    </xf>
    <xf numFmtId="43" fontId="34" fillId="34" borderId="0" xfId="0" applyNumberFormat="1" applyFont="1" applyFill="1" applyBorder="1" applyAlignment="1">
      <alignment horizontal="right"/>
    </xf>
    <xf numFmtId="164" fontId="32" fillId="34" borderId="16" xfId="42" applyNumberFormat="1" applyFont="1" applyFill="1" applyBorder="1" applyAlignment="1">
      <alignment horizontal="center"/>
    </xf>
    <xf numFmtId="43" fontId="32" fillId="34" borderId="10" xfId="42" applyFont="1" applyFill="1" applyBorder="1" applyAlignment="1">
      <alignment horizontal="center"/>
    </xf>
    <xf numFmtId="43" fontId="9" fillId="0" borderId="0" xfId="0" applyFont="1" applyAlignment="1">
      <alignment/>
    </xf>
    <xf numFmtId="43" fontId="9" fillId="34" borderId="0" xfId="65" applyFont="1" applyFill="1">
      <alignment/>
      <protection/>
    </xf>
    <xf numFmtId="43" fontId="10" fillId="0" borderId="0" xfId="0" applyFont="1" applyAlignment="1">
      <alignment/>
    </xf>
    <xf numFmtId="164" fontId="39" fillId="34" borderId="0" xfId="65" applyNumberFormat="1" applyFont="1" applyFill="1" applyBorder="1">
      <alignment/>
      <protection/>
    </xf>
    <xf numFmtId="43" fontId="9" fillId="0" borderId="0" xfId="0" applyFont="1" applyBorder="1" applyAlignment="1">
      <alignment horizontal="right" vertical="center"/>
    </xf>
    <xf numFmtId="43" fontId="9" fillId="0" borderId="0" xfId="0" applyFont="1" applyBorder="1" applyAlignment="1">
      <alignment/>
    </xf>
    <xf numFmtId="164" fontId="40" fillId="0" borderId="0" xfId="44" applyNumberFormat="1" applyFont="1" applyBorder="1" applyAlignment="1">
      <alignment horizontal="right" vertical="center"/>
    </xf>
    <xf numFmtId="43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43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0" fontId="0" fillId="0" borderId="10" xfId="68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0" fontId="3" fillId="0" borderId="10" xfId="68" applyNumberFormat="1" applyFont="1" applyBorder="1" applyAlignment="1">
      <alignment/>
    </xf>
    <xf numFmtId="164" fontId="35" fillId="34" borderId="51" xfId="42" applyNumberFormat="1" applyFont="1" applyFill="1" applyBorder="1" applyAlignment="1">
      <alignment horizontal="center"/>
    </xf>
    <xf numFmtId="164" fontId="34" fillId="34" borderId="16" xfId="42" applyNumberFormat="1" applyFont="1" applyFill="1" applyBorder="1" applyAlignment="1">
      <alignment/>
    </xf>
    <xf numFmtId="43" fontId="11" fillId="0" borderId="0" xfId="0" applyFont="1" applyAlignment="1">
      <alignment/>
    </xf>
    <xf numFmtId="43" fontId="12" fillId="0" borderId="0" xfId="0" applyFont="1" applyAlignment="1">
      <alignment/>
    </xf>
    <xf numFmtId="43" fontId="13" fillId="0" borderId="0" xfId="0" applyFont="1" applyAlignment="1">
      <alignment/>
    </xf>
    <xf numFmtId="43" fontId="41" fillId="0" borderId="10" xfId="0" applyFont="1" applyBorder="1" applyAlignment="1">
      <alignment/>
    </xf>
    <xf numFmtId="1" fontId="41" fillId="0" borderId="10" xfId="0" applyNumberFormat="1" applyFont="1" applyBorder="1" applyAlignment="1">
      <alignment horizontal="center"/>
    </xf>
    <xf numFmtId="43" fontId="13" fillId="0" borderId="10" xfId="0" applyFont="1" applyBorder="1" applyAlignment="1">
      <alignment/>
    </xf>
    <xf numFmtId="164" fontId="13" fillId="0" borderId="10" xfId="0" applyNumberFormat="1" applyFont="1" applyBorder="1" applyAlignment="1">
      <alignment/>
    </xf>
    <xf numFmtId="43" fontId="13" fillId="0" borderId="10" xfId="0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43" fontId="41" fillId="0" borderId="10" xfId="0" applyFont="1" applyFill="1" applyBorder="1" applyAlignment="1">
      <alignment/>
    </xf>
    <xf numFmtId="10" fontId="41" fillId="0" borderId="10" xfId="68" applyNumberFormat="1" applyFont="1" applyFill="1" applyBorder="1" applyAlignment="1">
      <alignment/>
    </xf>
    <xf numFmtId="43" fontId="41" fillId="0" borderId="10" xfId="0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0" fontId="41" fillId="0" borderId="10" xfId="68" applyNumberFormat="1" applyFont="1" applyBorder="1" applyAlignment="1">
      <alignment/>
    </xf>
    <xf numFmtId="164" fontId="35" fillId="34" borderId="52" xfId="0" applyNumberFormat="1" applyFont="1" applyFill="1" applyBorder="1" applyAlignment="1">
      <alignment/>
    </xf>
    <xf numFmtId="164" fontId="35" fillId="34" borderId="53" xfId="0" applyNumberFormat="1" applyFont="1" applyFill="1" applyBorder="1" applyAlignment="1">
      <alignment/>
    </xf>
    <xf numFmtId="164" fontId="32" fillId="34" borderId="10" xfId="0" applyNumberFormat="1" applyFont="1" applyFill="1" applyBorder="1" applyAlignment="1">
      <alignment horizontal="center"/>
    </xf>
    <xf numFmtId="164" fontId="31" fillId="34" borderId="11" xfId="0" applyNumberFormat="1" applyFont="1" applyFill="1" applyBorder="1" applyAlignment="1">
      <alignment horizontal="center"/>
    </xf>
    <xf numFmtId="43" fontId="32" fillId="34" borderId="0" xfId="0" applyFont="1" applyFill="1" applyBorder="1" applyAlignment="1">
      <alignment/>
    </xf>
    <xf numFmtId="43" fontId="1" fillId="34" borderId="0" xfId="0" applyFont="1" applyFill="1" applyBorder="1" applyAlignment="1">
      <alignment/>
    </xf>
    <xf numFmtId="164" fontId="34" fillId="34" borderId="0" xfId="0" applyNumberFormat="1" applyFont="1" applyFill="1" applyBorder="1" applyAlignment="1">
      <alignment horizontal="right"/>
    </xf>
    <xf numFmtId="164" fontId="34" fillId="34" borderId="0" xfId="0" applyNumberFormat="1" applyFont="1" applyFill="1" applyBorder="1" applyAlignment="1">
      <alignment horizontal="right" wrapText="1"/>
    </xf>
    <xf numFmtId="164" fontId="34" fillId="34" borderId="0" xfId="42" applyNumberFormat="1" applyFont="1" applyFill="1" applyBorder="1" applyAlignment="1">
      <alignment horizontal="right"/>
    </xf>
    <xf numFmtId="164" fontId="35" fillId="34" borderId="54" xfId="0" applyNumberFormat="1" applyFont="1" applyFill="1" applyBorder="1" applyAlignment="1">
      <alignment/>
    </xf>
    <xf numFmtId="164" fontId="35" fillId="34" borderId="55" xfId="42" applyNumberFormat="1" applyFont="1" applyFill="1" applyBorder="1" applyAlignment="1">
      <alignment horizontal="center"/>
    </xf>
    <xf numFmtId="164" fontId="34" fillId="34" borderId="10" xfId="42" applyNumberFormat="1" applyFont="1" applyFill="1" applyBorder="1" applyAlignment="1">
      <alignment horizontal="center"/>
    </xf>
    <xf numFmtId="43" fontId="4" fillId="34" borderId="0" xfId="0" applyFont="1" applyFill="1" applyAlignment="1">
      <alignment/>
    </xf>
    <xf numFmtId="43" fontId="35" fillId="34" borderId="13" xfId="0" applyFont="1" applyFill="1" applyBorder="1" applyAlignment="1">
      <alignment/>
    </xf>
    <xf numFmtId="43" fontId="35" fillId="34" borderId="12" xfId="0" applyFont="1" applyFill="1" applyBorder="1" applyAlignment="1">
      <alignment/>
    </xf>
    <xf numFmtId="43" fontId="4" fillId="34" borderId="10" xfId="0" applyFont="1" applyFill="1" applyBorder="1" applyAlignment="1">
      <alignment/>
    </xf>
    <xf numFmtId="43" fontId="35" fillId="34" borderId="11" xfId="0" applyFont="1" applyFill="1" applyBorder="1" applyAlignment="1">
      <alignment/>
    </xf>
    <xf numFmtId="43" fontId="35" fillId="34" borderId="15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164" fontId="4" fillId="34" borderId="12" xfId="0" applyNumberFormat="1" applyFont="1" applyFill="1" applyBorder="1" applyAlignment="1">
      <alignment/>
    </xf>
    <xf numFmtId="43" fontId="5" fillId="34" borderId="10" xfId="0" applyFont="1" applyFill="1" applyBorder="1" applyAlignment="1">
      <alignment/>
    </xf>
    <xf numFmtId="164" fontId="31" fillId="34" borderId="16" xfId="0" applyNumberFormat="1" applyFont="1" applyFill="1" applyBorder="1" applyAlignment="1">
      <alignment/>
    </xf>
    <xf numFmtId="43" fontId="31" fillId="34" borderId="0" xfId="68" applyFont="1" applyFill="1" applyAlignment="1">
      <alignment/>
    </xf>
    <xf numFmtId="176" fontId="0" fillId="0" borderId="10" xfId="68" applyNumberFormat="1" applyFont="1" applyBorder="1" applyAlignment="1">
      <alignment/>
    </xf>
    <xf numFmtId="164" fontId="31" fillId="0" borderId="12" xfId="0" applyNumberFormat="1" applyFont="1" applyFill="1" applyBorder="1" applyAlignment="1">
      <alignment/>
    </xf>
    <xf numFmtId="164" fontId="31" fillId="0" borderId="10" xfId="0" applyNumberFormat="1" applyFont="1" applyFill="1" applyBorder="1" applyAlignment="1">
      <alignment/>
    </xf>
    <xf numFmtId="164" fontId="31" fillId="0" borderId="10" xfId="42" applyNumberFormat="1" applyFont="1" applyFill="1" applyBorder="1" applyAlignment="1">
      <alignment/>
    </xf>
    <xf numFmtId="164" fontId="31" fillId="34" borderId="10" xfId="42" applyNumberFormat="1" applyFont="1" applyFill="1" applyBorder="1" applyAlignment="1">
      <alignment/>
    </xf>
    <xf numFmtId="164" fontId="31" fillId="34" borderId="16" xfId="42" applyNumberFormat="1" applyFont="1" applyFill="1" applyBorder="1" applyAlignment="1">
      <alignment/>
    </xf>
    <xf numFmtId="164" fontId="31" fillId="0" borderId="10" xfId="42" applyNumberFormat="1" applyFont="1" applyFill="1" applyBorder="1" applyAlignment="1">
      <alignment horizontal="center"/>
    </xf>
    <xf numFmtId="164" fontId="31" fillId="34" borderId="10" xfId="42" applyNumberFormat="1" applyFont="1" applyFill="1" applyBorder="1" applyAlignment="1">
      <alignment horizontal="center"/>
    </xf>
    <xf numFmtId="164" fontId="31" fillId="34" borderId="16" xfId="42" applyNumberFormat="1" applyFont="1" applyFill="1" applyBorder="1" applyAlignment="1">
      <alignment horizontal="center"/>
    </xf>
    <xf numFmtId="164" fontId="31" fillId="34" borderId="10" xfId="0" applyNumberFormat="1" applyFont="1" applyFill="1" applyBorder="1" applyAlignment="1">
      <alignment/>
    </xf>
    <xf numFmtId="164" fontId="32" fillId="34" borderId="10" xfId="42" applyNumberFormat="1" applyFont="1" applyFill="1" applyBorder="1" applyAlignment="1">
      <alignment horizontal="center"/>
    </xf>
    <xf numFmtId="43" fontId="31" fillId="0" borderId="10" xfId="42" applyNumberFormat="1" applyFont="1" applyFill="1" applyBorder="1" applyAlignment="1">
      <alignment horizontal="right"/>
    </xf>
    <xf numFmtId="43" fontId="31" fillId="34" borderId="10" xfId="0" applyNumberFormat="1" applyFont="1" applyFill="1" applyBorder="1" applyAlignment="1">
      <alignment horizontal="right"/>
    </xf>
    <xf numFmtId="43" fontId="31" fillId="0" borderId="16" xfId="42" applyNumberFormat="1" applyFont="1" applyFill="1" applyBorder="1" applyAlignment="1">
      <alignment horizontal="right"/>
    </xf>
    <xf numFmtId="43" fontId="32" fillId="34" borderId="16" xfId="42" applyNumberFormat="1" applyFont="1" applyFill="1" applyBorder="1" applyAlignment="1">
      <alignment horizontal="center"/>
    </xf>
    <xf numFmtId="43" fontId="32" fillId="34" borderId="12" xfId="42" applyNumberFormat="1" applyFont="1" applyFill="1" applyBorder="1" applyAlignment="1">
      <alignment horizontal="center"/>
    </xf>
    <xf numFmtId="43" fontId="31" fillId="0" borderId="10" xfId="42" applyNumberFormat="1" applyFont="1" applyFill="1" applyBorder="1" applyAlignment="1">
      <alignment horizontal="center"/>
    </xf>
    <xf numFmtId="43" fontId="31" fillId="34" borderId="10" xfId="0" applyNumberFormat="1" applyFont="1" applyFill="1" applyBorder="1" applyAlignment="1">
      <alignment/>
    </xf>
    <xf numFmtId="43" fontId="32" fillId="34" borderId="10" xfId="42" applyNumberFormat="1" applyFont="1" applyFill="1" applyBorder="1" applyAlignment="1">
      <alignment horizontal="center"/>
    </xf>
    <xf numFmtId="164" fontId="32" fillId="34" borderId="16" xfId="42" applyNumberFormat="1" applyFont="1" applyFill="1" applyBorder="1" applyAlignment="1">
      <alignment horizontal="center"/>
    </xf>
    <xf numFmtId="1" fontId="13" fillId="0" borderId="0" xfId="0" applyNumberFormat="1" applyFont="1" applyAlignment="1">
      <alignment horizontal="right"/>
    </xf>
    <xf numFmtId="164" fontId="4" fillId="35" borderId="12" xfId="0" applyNumberFormat="1" applyFont="1" applyFill="1" applyBorder="1" applyAlignment="1">
      <alignment/>
    </xf>
    <xf numFmtId="43" fontId="4" fillId="34" borderId="12" xfId="0" applyFont="1" applyFill="1" applyBorder="1" applyAlignment="1">
      <alignment/>
    </xf>
    <xf numFmtId="164" fontId="4" fillId="35" borderId="10" xfId="42" applyNumberFormat="1" applyFont="1" applyFill="1" applyBorder="1" applyAlignment="1">
      <alignment horizontal="left"/>
    </xf>
    <xf numFmtId="164" fontId="4" fillId="35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43" fontId="0" fillId="0" borderId="0" xfId="0" applyAlignment="1">
      <alignment horizontal="center"/>
    </xf>
    <xf numFmtId="43" fontId="14" fillId="0" borderId="0" xfId="0" applyFont="1" applyAlignment="1">
      <alignment horizontal="center"/>
    </xf>
    <xf numFmtId="2" fontId="4" fillId="35" borderId="10" xfId="0" applyNumberFormat="1" applyFont="1" applyFill="1" applyBorder="1" applyAlignment="1">
      <alignment horizontal="right"/>
    </xf>
    <xf numFmtId="43" fontId="0" fillId="0" borderId="0" xfId="0" applyFont="1" applyAlignment="1">
      <alignment/>
    </xf>
    <xf numFmtId="164" fontId="38" fillId="35" borderId="10" xfId="0" applyNumberFormat="1" applyFont="1" applyFill="1" applyBorder="1" applyAlignment="1">
      <alignment/>
    </xf>
    <xf numFmtId="43" fontId="38" fillId="34" borderId="10" xfId="0" applyFont="1" applyFill="1" applyBorder="1" applyAlignment="1">
      <alignment/>
    </xf>
    <xf numFmtId="43" fontId="38" fillId="35" borderId="10" xfId="0" applyFont="1" applyFill="1" applyBorder="1" applyAlignment="1">
      <alignment wrapText="1"/>
    </xf>
    <xf numFmtId="1" fontId="38" fillId="35" borderId="10" xfId="0" applyNumberFormat="1" applyFont="1" applyFill="1" applyBorder="1" applyAlignment="1">
      <alignment/>
    </xf>
    <xf numFmtId="164" fontId="39" fillId="35" borderId="10" xfId="0" applyNumberFormat="1" applyFont="1" applyFill="1" applyBorder="1" applyAlignment="1">
      <alignment/>
    </xf>
    <xf numFmtId="164" fontId="39" fillId="34" borderId="10" xfId="0" applyNumberFormat="1" applyFont="1" applyFill="1" applyBorder="1" applyAlignment="1">
      <alignment/>
    </xf>
    <xf numFmtId="43" fontId="39" fillId="35" borderId="10" xfId="0" applyFont="1" applyFill="1" applyBorder="1" applyAlignment="1">
      <alignment/>
    </xf>
    <xf numFmtId="43" fontId="39" fillId="35" borderId="10" xfId="68" applyFont="1" applyFill="1" applyBorder="1" applyAlignment="1">
      <alignment horizontal="center"/>
    </xf>
    <xf numFmtId="43" fontId="39" fillId="34" borderId="10" xfId="0" applyFont="1" applyFill="1" applyBorder="1" applyAlignment="1">
      <alignment/>
    </xf>
    <xf numFmtId="43" fontId="15" fillId="34" borderId="10" xfId="0" applyFont="1" applyFill="1" applyBorder="1" applyAlignment="1">
      <alignment/>
    </xf>
    <xf numFmtId="164" fontId="15" fillId="35" borderId="10" xfId="0" applyNumberFormat="1" applyFont="1" applyFill="1" applyBorder="1" applyAlignment="1">
      <alignment/>
    </xf>
    <xf numFmtId="43" fontId="38" fillId="35" borderId="10" xfId="68" applyFont="1" applyFill="1" applyBorder="1" applyAlignment="1">
      <alignment horizontal="center"/>
    </xf>
    <xf numFmtId="164" fontId="15" fillId="35" borderId="0" xfId="0" applyNumberFormat="1" applyFont="1" applyFill="1" applyAlignment="1">
      <alignment/>
    </xf>
    <xf numFmtId="43" fontId="15" fillId="34" borderId="0" xfId="0" applyFont="1" applyFill="1" applyAlignment="1">
      <alignment/>
    </xf>
    <xf numFmtId="43" fontId="15" fillId="35" borderId="0" xfId="0" applyFont="1" applyFill="1" applyAlignment="1">
      <alignment/>
    </xf>
    <xf numFmtId="43" fontId="15" fillId="35" borderId="10" xfId="0" applyFont="1" applyFill="1" applyBorder="1" applyAlignment="1">
      <alignment/>
    </xf>
    <xf numFmtId="43" fontId="15" fillId="35" borderId="10" xfId="0" applyFont="1" applyFill="1" applyBorder="1" applyAlignment="1">
      <alignment horizontal="center"/>
    </xf>
    <xf numFmtId="164" fontId="15" fillId="34" borderId="10" xfId="0" applyNumberFormat="1" applyFont="1" applyFill="1" applyBorder="1" applyAlignment="1">
      <alignment/>
    </xf>
    <xf numFmtId="164" fontId="15" fillId="34" borderId="12" xfId="0" applyNumberFormat="1" applyFont="1" applyFill="1" applyBorder="1" applyAlignment="1">
      <alignment/>
    </xf>
    <xf numFmtId="164" fontId="15" fillId="35" borderId="12" xfId="0" applyNumberFormat="1" applyFont="1" applyFill="1" applyBorder="1" applyAlignment="1">
      <alignment/>
    </xf>
    <xf numFmtId="164" fontId="16" fillId="35" borderId="10" xfId="0" applyNumberFormat="1" applyFont="1" applyFill="1" applyBorder="1" applyAlignment="1">
      <alignment/>
    </xf>
    <xf numFmtId="43" fontId="16" fillId="34" borderId="10" xfId="0" applyFont="1" applyFill="1" applyBorder="1" applyAlignment="1">
      <alignment/>
    </xf>
    <xf numFmtId="164" fontId="16" fillId="35" borderId="10" xfId="0" applyNumberFormat="1" applyFont="1" applyFill="1" applyBorder="1" applyAlignment="1">
      <alignment/>
    </xf>
    <xf numFmtId="164" fontId="42" fillId="34" borderId="10" xfId="0" applyNumberFormat="1" applyFont="1" applyFill="1" applyBorder="1" applyAlignment="1">
      <alignment/>
    </xf>
    <xf numFmtId="43" fontId="15" fillId="35" borderId="10" xfId="0" applyFont="1" applyFill="1" applyBorder="1" applyAlignment="1">
      <alignment/>
    </xf>
    <xf numFmtId="43" fontId="15" fillId="34" borderId="12" xfId="0" applyFont="1" applyFill="1" applyBorder="1" applyAlignment="1">
      <alignment/>
    </xf>
    <xf numFmtId="2" fontId="15" fillId="35" borderId="10" xfId="0" applyNumberFormat="1" applyFont="1" applyFill="1" applyBorder="1" applyAlignment="1">
      <alignment horizontal="right"/>
    </xf>
    <xf numFmtId="2" fontId="15" fillId="35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43" fontId="15" fillId="0" borderId="0" xfId="0" applyFont="1" applyAlignment="1">
      <alignment/>
    </xf>
    <xf numFmtId="43" fontId="16" fillId="35" borderId="10" xfId="0" applyFont="1" applyFill="1" applyBorder="1" applyAlignment="1">
      <alignment/>
    </xf>
    <xf numFmtId="43" fontId="15" fillId="0" borderId="0" xfId="0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 23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1125"/>
          <c:w val="0.59375"/>
          <c:h val="0.835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40315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Summary!$B$4:$B$7</c:f>
              <c:strCache/>
            </c:strRef>
          </c:cat>
          <c:val>
            <c:numRef>
              <c:f>Summary!$F$4:$F$7</c:f>
              <c:numCache/>
            </c:numRef>
          </c:val>
        </c:ser>
        <c:holeSize val="53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725"/>
          <c:y val="0.26475"/>
          <c:w val="0.374"/>
          <c:h val="0.4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123825</xdr:rowOff>
    </xdr:from>
    <xdr:to>
      <xdr:col>11</xdr:col>
      <xdr:colOff>438150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7829550" y="285750"/>
        <a:ext cx="43910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0" name="Table10" displayName="Table10" ref="B4:L14" comment="" totalsRowShown="0">
  <tableColumns count="11">
    <tableColumn id="1" name="No"/>
    <tableColumn id="2" name="Company"/>
    <tableColumn id="3" name="Life Individual"/>
    <tableColumn id="4" name="Life Group"/>
    <tableColumn id="9" name="Medical"/>
    <tableColumn id="5" name="Deposit Admin"/>
    <tableColumn id="6" name="2019 Total"/>
    <tableColumn id="7" name="2018 Total"/>
    <tableColumn id="10" name="%age growth 2018/19"/>
    <tableColumn id="11" name="Market share 2019"/>
    <tableColumn id="12" name="Market share 2018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2" name="Table2" displayName="Table2" ref="A30:O52" comment="" totalsRowShown="0">
  <tableColumns count="15">
    <tableColumn id="1" name="No"/>
    <tableColumn id="2" name="Company"/>
    <tableColumn id="3" name="Fire"/>
    <tableColumn id="4" name="Burglary"/>
    <tableColumn id="5" name="P. Accident"/>
    <tableColumn id="6" name="Work. Comp"/>
    <tableColumn id="7" name="P.Liability"/>
    <tableColumn id="8" name="Marine/Av."/>
    <tableColumn id="9" name="Motor"/>
    <tableColumn id="10" name="Bonds"/>
    <tableColumn id="11" name="Engineering"/>
    <tableColumn id="15" name="Medical"/>
    <tableColumn id="12" name="Miscell."/>
    <tableColumn id="13" name="2019 Total"/>
    <tableColumn id="14" name="2018 Total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56:O78" comment="" totalsRowShown="0">
  <tableColumns count="15">
    <tableColumn id="1" name="No"/>
    <tableColumn id="2" name="Company"/>
    <tableColumn id="3" name="Fire"/>
    <tableColumn id="4" name="Burglary"/>
    <tableColumn id="5" name="P. Accident"/>
    <tableColumn id="6" name="Work. Comp"/>
    <tableColumn id="7" name="P.Liability"/>
    <tableColumn id="8" name="Marine/Av."/>
    <tableColumn id="9" name="Motor"/>
    <tableColumn id="10" name="Bonds"/>
    <tableColumn id="11" name="Engineering"/>
    <tableColumn id="15" name="Medical"/>
    <tableColumn id="12" name="Miscell."/>
    <tableColumn id="13" name="2019 Total"/>
    <tableColumn id="14" name="2018 Total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4" name="Table4" displayName="Table4" ref="A85:O107" comment="" totalsRowShown="0">
  <tableColumns count="15">
    <tableColumn id="1" name="No"/>
    <tableColumn id="2" name="Company"/>
    <tableColumn id="3" name="Fire"/>
    <tableColumn id="4" name="Burglary"/>
    <tableColumn id="5" name="P. Accident"/>
    <tableColumn id="6" name="Work. Comp"/>
    <tableColumn id="7" name="P.Liability"/>
    <tableColumn id="8" name="Marine/Av."/>
    <tableColumn id="9" name="Motor"/>
    <tableColumn id="10" name="Bonds"/>
    <tableColumn id="11" name="Engineering"/>
    <tableColumn id="15" name="Medical"/>
    <tableColumn id="12" name="Miscell."/>
    <tableColumn id="13" name="2019 Total"/>
    <tableColumn id="14" name="2018 Total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A112:O134" comment="" totalsRowShown="0">
  <tableColumns count="15">
    <tableColumn id="1" name="No"/>
    <tableColumn id="2" name="Company"/>
    <tableColumn id="3" name="Fire"/>
    <tableColumn id="4" name="Burglary"/>
    <tableColumn id="5" name="P. Accident"/>
    <tableColumn id="6" name="Work. Comp"/>
    <tableColumn id="7" name="P.Liability"/>
    <tableColumn id="8" name="Marine/Av."/>
    <tableColumn id="9" name="Motor"/>
    <tableColumn id="10" name="Bonds"/>
    <tableColumn id="11" name="Engineering"/>
    <tableColumn id="15" name="Medical"/>
    <tableColumn id="12" name="Miscell."/>
    <tableColumn id="13" name="2019 Total"/>
    <tableColumn id="14" name="2018 Total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A140:O162" comment="" totalsRowShown="0">
  <tableColumns count="15">
    <tableColumn id="1" name="No"/>
    <tableColumn id="2" name="Company"/>
    <tableColumn id="3" name="Fire"/>
    <tableColumn id="4" name="Burglary"/>
    <tableColumn id="5" name="P. Accident"/>
    <tableColumn id="6" name="Work. Comp"/>
    <tableColumn id="7" name="P.Liability"/>
    <tableColumn id="8" name="Marine/Av."/>
    <tableColumn id="9" name="Motor"/>
    <tableColumn id="10" name="Bonds"/>
    <tableColumn id="11" name="Engineering"/>
    <tableColumn id="15" name="Medical"/>
    <tableColumn id="12" name="Miscell."/>
    <tableColumn id="13" name="2019 Total"/>
    <tableColumn id="14" name="2018 Total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A169:O191" comment="" totalsRowShown="0">
  <tableColumns count="15">
    <tableColumn id="1" name="No"/>
    <tableColumn id="2" name="Company"/>
    <tableColumn id="3" name="Fire"/>
    <tableColumn id="4" name="Burglary"/>
    <tableColumn id="5" name="P. Accident"/>
    <tableColumn id="6" name="Work. Comp"/>
    <tableColumn id="7" name="P.Liability"/>
    <tableColumn id="8" name="Marine/Av."/>
    <tableColumn id="9" name="Motor"/>
    <tableColumn id="10" name="Bonds"/>
    <tableColumn id="11" name="Engineering"/>
    <tableColumn id="15" name="Medical"/>
    <tableColumn id="12" name="Miscell."/>
    <tableColumn id="13" name="2019 Total"/>
    <tableColumn id="14" name="2018 Total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8" name="Table8" displayName="Table8" ref="A196:O218" comment="" totalsRowShown="0">
  <tableColumns count="15">
    <tableColumn id="1" name="No"/>
    <tableColumn id="2" name="Company"/>
    <tableColumn id="3" name="Fire"/>
    <tableColumn id="4" name="Burglary"/>
    <tableColumn id="5" name="P. Accident"/>
    <tableColumn id="6" name="Work. Comp"/>
    <tableColumn id="7" name="P.Liability"/>
    <tableColumn id="8" name="Marine/Av."/>
    <tableColumn id="9" name="Motor"/>
    <tableColumn id="10" name="Bonds"/>
    <tableColumn id="11" name="Engineering"/>
    <tableColumn id="15" name="Medical"/>
    <tableColumn id="12" name="Miscell."/>
    <tableColumn id="13" name="2019 Total"/>
    <tableColumn id="14" name="2018 Total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0102" name="Table931" displayName="Table931" ref="A222:N244" comment="" totalsRowShown="0">
  <tableColumns count="14">
    <tableColumn id="1" name="No"/>
    <tableColumn id="2" name="Company"/>
    <tableColumn id="3" name="Fire"/>
    <tableColumn id="4" name="Burglary"/>
    <tableColumn id="5" name="P. Accident"/>
    <tableColumn id="6" name="Work. Comp"/>
    <tableColumn id="7" name="P.Liability"/>
    <tableColumn id="8" name="Marine/Av."/>
    <tableColumn id="9" name="Motor"/>
    <tableColumn id="10" name="Bonds"/>
    <tableColumn id="11" name="Engineering"/>
    <tableColumn id="15" name="Medical"/>
    <tableColumn id="12" name="Miscell."/>
    <tableColumn id="13" name="2019 Total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10092" name="Table24123" displayName="Table24123" ref="A14:D20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0093" name="Table34224" displayName="Table34224" ref="A24:D30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1" displayName="Table11" ref="B18:J28" comment="" totalsRowShown="0">
  <tableColumns count="9">
    <tableColumn id="1" name="No"/>
    <tableColumn id="2" name="Company"/>
    <tableColumn id="3" name="Life Individual"/>
    <tableColumn id="4" name="Life Group"/>
    <tableColumn id="10" name="Medical"/>
    <tableColumn id="5" name="Deposit Admin"/>
    <tableColumn id="6" name="2019 Total"/>
    <tableColumn id="7" name="2018 Total"/>
    <tableColumn id="11" name="%age growth 2018/19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10094" name="Table44325" displayName="Table44325" ref="A34:D40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id="10095" name="Table54426" displayName="Table54426" ref="A44:D50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id="10096" name="Table64527" displayName="Table64527" ref="A54:D60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id="10097" name="Table74628" displayName="Table74628" ref="A64:D70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id="10098" name="Table84729" displayName="Table84729" ref="A74:D80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id="10099" name="Table94830" displayName="Table94830" ref="A85:D91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id="10100" name="Table9483043" displayName="Table9483043" ref="A95:D101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id="10101" name="Table9483044" displayName="Table9483044" ref="A104:D110" comment="" totalsRowShown="0">
  <tableColumns count="4">
    <tableColumn id="1" name="No"/>
    <tableColumn id="2" name="Company"/>
    <tableColumn id="15" name="Medical"/>
    <tableColumn id="13" name="2019 Total 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id="10258" name="Table1010259" displayName="Table1010259" ref="B4:J7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13" name="Deposit Administration"/>
    <tableColumn id="5" name="Funeral"/>
    <tableColumn id="6" name="Q4, 2019 Total"/>
    <tableColumn id="7" name="Q4, 2018 Total"/>
  </tableColumns>
  <tableStyleInfo name="TableStyleLight16" showFirstColumn="0" showLastColumn="0" showRowStripes="1" showColumnStripes="0"/>
</table>
</file>

<file path=xl/tables/table29.xml><?xml version="1.0" encoding="utf-8"?>
<table xmlns="http://schemas.openxmlformats.org/spreadsheetml/2006/main" id="10259" name="Table1110260" displayName="Table1110260" ref="B11:J14" comment="" totalsRowShown="0">
  <tableColumns count="9">
    <tableColumn id="1" name="No"/>
    <tableColumn id="2" name="Company"/>
    <tableColumn id="3" name="Life Individual"/>
    <tableColumn id="4" name="Life Group"/>
    <tableColumn id="10" name="Medical"/>
    <tableColumn id="12" name="Deposit Administration"/>
    <tableColumn id="5" name="Funeral"/>
    <tableColumn id="6" name="Q4, 2019 Total"/>
    <tableColumn id="7" name="Q4, 2018 Total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B33:J43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5" name="Deposit Admin"/>
    <tableColumn id="6" name="2019 Total"/>
    <tableColumn id="7" name="2018 Total"/>
    <tableColumn id="10" name="%age growth 2018/19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id="10260" name="Table1210261" displayName="Table1210261" ref="B19:J22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11" name="Deposit Administration"/>
    <tableColumn id="5" name="Funeral"/>
    <tableColumn id="6" name="Q4, 2019 Total"/>
    <tableColumn id="7" name="Q4, 2018 Total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id="10261" name="Table1310262" displayName="Table1310262" ref="B26:J29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10" name="Deposit Administration"/>
    <tableColumn id="5" name="Funeral"/>
    <tableColumn id="6" name="Q4, 2019 Total"/>
    <tableColumn id="7" name="Q4, 2018 Total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id="10262" name="Table1410263" displayName="Table1410263" ref="B33:J36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10" name="Deposit Administration"/>
    <tableColumn id="5" name="Funeral"/>
    <tableColumn id="6" name="Q4, 2019 Total"/>
    <tableColumn id="7" name="Q4, 2018 Total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id="10263" name="Table1510264" displayName="Table1510264" ref="B40:J43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11" name="Deposit Administration"/>
    <tableColumn id="5" name="Funeral"/>
    <tableColumn id="6" name="Q4, 2019 Total"/>
    <tableColumn id="7" name="Q4, 2018 Total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id="10264" name="Table1610265" displayName="Table1610265" ref="B47:J50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11" name="Deposit Administration"/>
    <tableColumn id="5" name="Funeral"/>
    <tableColumn id="6" name="Q4, 2019 Total"/>
    <tableColumn id="7" name="Q4, 2018 Total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id="10265" name="Table1710266" displayName="Table1710266" ref="B54:J57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10" name="Deposit Administration"/>
    <tableColumn id="5" name="Funeral"/>
    <tableColumn id="6" name="Q4, 2019 Total"/>
    <tableColumn id="7" name="Q4, 2018 Total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id="21" name="Table21" displayName="Table21" ref="B4:J27" comment="" totalsRowShown="0">
  <tableColumns count="9">
    <tableColumn id="1" name="Column1"/>
    <tableColumn id="2" name="Column2"/>
    <tableColumn id="3" name="Column3"/>
    <tableColumn id="4" name="Column5"/>
    <tableColumn id="5" name="Column4"/>
    <tableColumn id="6" name="Column6"/>
    <tableColumn id="7" name="Column7"/>
    <tableColumn id="8" name="Column8"/>
    <tableColumn id="9" name="Column9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id="22" name="Table22" displayName="Table22" ref="B33:J44" comment="" totalsRowShown="0">
  <tableColumns count="9">
    <tableColumn id="1" name="Column1"/>
    <tableColumn id="2" name="Column2"/>
    <tableColumn id="3" name="Commission"/>
    <tableColumn id="4" name="Management"/>
    <tableColumn id="5" name="Total"/>
    <tableColumn id="6" name="Gross"/>
    <tableColumn id="7" name="Expense Ratio"/>
    <tableColumn id="8" name="ME/"/>
    <tableColumn id="9" name="Commission/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id="5780" name="Table5780" displayName="Table5780" ref="P7:U14" comment="" totalsRowShown="0">
  <autoFilter ref="P7:U14"/>
  <tableColumns count="6">
    <tableColumn id="1" name="Column1"/>
    <tableColumn id="2" name="2008"/>
    <tableColumn id="3" name="2009"/>
    <tableColumn id="4" name="2010"/>
    <tableColumn id="5" name="2011"/>
    <tableColumn id="6" name="2012"/>
  </tableColumns>
  <tableStyleInfo name="TableStyleLight6" showFirstColumn="0" showLastColumn="0" showRowStripes="1" showColumnStripes="0"/>
</table>
</file>

<file path=xl/tables/table39.xml><?xml version="1.0" encoding="utf-8"?>
<table xmlns="http://schemas.openxmlformats.org/spreadsheetml/2006/main" id="5781" name="Table5781" displayName="Table5781" ref="P36:U43" comment="" totalsRowShown="0">
  <autoFilter ref="P36:U43"/>
  <tableColumns count="6">
    <tableColumn id="1" name="Column1"/>
    <tableColumn id="2" name="2008"/>
    <tableColumn id="3" name="2009"/>
    <tableColumn id="4" name="2010"/>
    <tableColumn id="5" name="2011"/>
    <tableColumn id="6" name="2012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id="13" name="Table13" displayName="Table13" ref="B47:I57" comment="" totalsRowShown="0">
  <tableColumns count="8">
    <tableColumn id="1" name="No"/>
    <tableColumn id="2" name="Company"/>
    <tableColumn id="3" name="Life Individual"/>
    <tableColumn id="4" name="Life Group"/>
    <tableColumn id="9" name="Medical"/>
    <tableColumn id="5" name="Deposit Admin"/>
    <tableColumn id="6" name="2019 Total"/>
    <tableColumn id="7" name="2018 Total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id="10578" name="Table2210579" displayName="Table2210579" ref="B47:J51" comment="" totalsRowShown="0">
  <tableColumns count="9">
    <tableColumn id="1" name="Column1"/>
    <tableColumn id="2" name="Column2"/>
    <tableColumn id="3" name="Commission"/>
    <tableColumn id="4" name="Management"/>
    <tableColumn id="5" name="Total"/>
    <tableColumn id="6" name="Gross"/>
    <tableColumn id="7" name="Expense Ratio"/>
    <tableColumn id="8" name="ME/"/>
    <tableColumn id="9" name="Commission/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id="11343" name="Table2211344" displayName="Table2211344" ref="B54:J61" comment="" totalsRowShown="0">
  <tableColumns count="9">
    <tableColumn id="1" name="Column1"/>
    <tableColumn id="2" name="Column2"/>
    <tableColumn id="3" name="Commission"/>
    <tableColumn id="4" name="Management"/>
    <tableColumn id="5" name="Total"/>
    <tableColumn id="6" name="Gross"/>
    <tableColumn id="7" name="Expense Ratio"/>
    <tableColumn id="8" name="ME/"/>
    <tableColumn id="9" name="Commission/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4" name="Table14" displayName="Table14" ref="B61:I71" comment="" totalsRowShown="0">
  <tableColumns count="8">
    <tableColumn id="1" name="No"/>
    <tableColumn id="2" name="Company"/>
    <tableColumn id="3" name="Life Individual"/>
    <tableColumn id="4" name="Life Group"/>
    <tableColumn id="9" name="Medical"/>
    <tableColumn id="5" name="Deposit Admin"/>
    <tableColumn id="6" name="2019 Total"/>
    <tableColumn id="7" name="2018 Total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5" name="Table15" displayName="Table15" ref="B75:J85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5" name="Deposit Admin"/>
    <tableColumn id="6" name="2019 Total"/>
    <tableColumn id="7" name="2018 Total"/>
    <tableColumn id="10" name="%age growth 2018/1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6" name="Table16" displayName="Table16" ref="B89:J99" comment="" totalsRowShown="0">
  <tableColumns count="9">
    <tableColumn id="1" name="No"/>
    <tableColumn id="2" name="Company"/>
    <tableColumn id="3" name="Life Individual"/>
    <tableColumn id="4" name="Life Group"/>
    <tableColumn id="9" name="Medical"/>
    <tableColumn id="5" name="Deposit Admin"/>
    <tableColumn id="6" name="2019 Total"/>
    <tableColumn id="7" name="2018 Total"/>
    <tableColumn id="10" name="%age growth 2018/19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7" name="Table17" displayName="Table17" ref="B103:I113" comment="" totalsRowShown="0">
  <tableColumns count="8">
    <tableColumn id="1" name="No"/>
    <tableColumn id="2" name="Company"/>
    <tableColumn id="3" name="Life Individual"/>
    <tableColumn id="4" name="Life Group"/>
    <tableColumn id="9" name="Medical"/>
    <tableColumn id="5" name="Deposit Admin"/>
    <tableColumn id="6" name="2019 Total"/>
    <tableColumn id="7" name="2018 Total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" name="Table1" displayName="Table1" ref="A4:O26" comment="" totalsRowShown="0">
  <tableColumns count="15">
    <tableColumn id="1" name="No"/>
    <tableColumn id="2" name="Company"/>
    <tableColumn id="3" name="Fire"/>
    <tableColumn id="4" name="Burglary"/>
    <tableColumn id="5" name="Personal Accident"/>
    <tableColumn id="6" name="Work. Comp"/>
    <tableColumn id="7" name="P.Liability"/>
    <tableColumn id="8" name="Marine/Aviation"/>
    <tableColumn id="9" name="Motor"/>
    <tableColumn id="10" name="Bonds"/>
    <tableColumn id="11" name="Engineering"/>
    <tableColumn id="15" name="Medical"/>
    <tableColumn id="12" name="Misc. Accident"/>
    <tableColumn id="13" name="2019 Total"/>
    <tableColumn id="14" name="2018 Total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table" Target="../tables/table11.xml" /><Relationship Id="rId4" Type="http://schemas.openxmlformats.org/officeDocument/2006/relationships/table" Target="../tables/table12.xml" /><Relationship Id="rId5" Type="http://schemas.openxmlformats.org/officeDocument/2006/relationships/table" Target="../tables/table13.xml" /><Relationship Id="rId6" Type="http://schemas.openxmlformats.org/officeDocument/2006/relationships/table" Target="../tables/table14.xml" /><Relationship Id="rId7" Type="http://schemas.openxmlformats.org/officeDocument/2006/relationships/table" Target="../tables/table15.xml" /><Relationship Id="rId8" Type="http://schemas.openxmlformats.org/officeDocument/2006/relationships/table" Target="../tables/table16.xml" /><Relationship Id="rId9" Type="http://schemas.openxmlformats.org/officeDocument/2006/relationships/table" Target="../tables/table17.xml" /><Relationship Id="rId1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table" Target="../tables/table19.xml" /><Relationship Id="rId3" Type="http://schemas.openxmlformats.org/officeDocument/2006/relationships/table" Target="../tables/table20.xml" /><Relationship Id="rId4" Type="http://schemas.openxmlformats.org/officeDocument/2006/relationships/table" Target="../tables/table21.xml" /><Relationship Id="rId5" Type="http://schemas.openxmlformats.org/officeDocument/2006/relationships/table" Target="../tables/table22.xml" /><Relationship Id="rId6" Type="http://schemas.openxmlformats.org/officeDocument/2006/relationships/table" Target="../tables/table23.xml" /><Relationship Id="rId7" Type="http://schemas.openxmlformats.org/officeDocument/2006/relationships/table" Target="../tables/table24.xml" /><Relationship Id="rId8" Type="http://schemas.openxmlformats.org/officeDocument/2006/relationships/table" Target="../tables/table25.xml" /><Relationship Id="rId9" Type="http://schemas.openxmlformats.org/officeDocument/2006/relationships/table" Target="../tables/table26.xml" /><Relationship Id="rId10" Type="http://schemas.openxmlformats.org/officeDocument/2006/relationships/table" Target="../tables/table27.xm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table" Target="../tables/table29.xml" /><Relationship Id="rId3" Type="http://schemas.openxmlformats.org/officeDocument/2006/relationships/table" Target="../tables/table30.xml" /><Relationship Id="rId4" Type="http://schemas.openxmlformats.org/officeDocument/2006/relationships/table" Target="../tables/table31.xml" /><Relationship Id="rId5" Type="http://schemas.openxmlformats.org/officeDocument/2006/relationships/table" Target="../tables/table32.xml" /><Relationship Id="rId6" Type="http://schemas.openxmlformats.org/officeDocument/2006/relationships/table" Target="../tables/table33.xml" /><Relationship Id="rId7" Type="http://schemas.openxmlformats.org/officeDocument/2006/relationships/table" Target="../tables/table34.xml" /><Relationship Id="rId8" Type="http://schemas.openxmlformats.org/officeDocument/2006/relationships/table" Target="../tables/table3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36.xml" /><Relationship Id="rId2" Type="http://schemas.openxmlformats.org/officeDocument/2006/relationships/table" Target="../tables/table37.xml" /><Relationship Id="rId3" Type="http://schemas.openxmlformats.org/officeDocument/2006/relationships/table" Target="../tables/table38.xml" /><Relationship Id="rId4" Type="http://schemas.openxmlformats.org/officeDocument/2006/relationships/table" Target="../tables/table39.xml" /><Relationship Id="rId5" Type="http://schemas.openxmlformats.org/officeDocument/2006/relationships/table" Target="../tables/table40.xml" /><Relationship Id="rId6" Type="http://schemas.openxmlformats.org/officeDocument/2006/relationships/table" Target="../tables/table41.xml" /><Relationship Id="rId7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PageLayoutView="0" workbookViewId="0" topLeftCell="A1">
      <selection activeCell="F11" sqref="F11"/>
    </sheetView>
  </sheetViews>
  <sheetFormatPr defaultColWidth="9.140625" defaultRowHeight="12.75"/>
  <cols>
    <col min="1" max="1" width="7.8515625" style="0" bestFit="1" customWidth="1"/>
    <col min="2" max="2" width="30.00390625" style="0" customWidth="1"/>
    <col min="3" max="3" width="17.00390625" style="0" customWidth="1"/>
    <col min="4" max="4" width="16.00390625" style="0" bestFit="1" customWidth="1"/>
    <col min="5" max="5" width="17.7109375" style="0" customWidth="1"/>
    <col min="6" max="6" width="27.00390625" style="0" customWidth="1"/>
    <col min="8" max="8" width="15.00390625" style="0" bestFit="1" customWidth="1"/>
    <col min="9" max="9" width="18.7109375" style="0" bestFit="1" customWidth="1"/>
  </cols>
  <sheetData>
    <row r="1" s="2" customFormat="1" ht="12.75">
      <c r="B1" s="2" t="s">
        <v>87</v>
      </c>
    </row>
    <row r="2" s="2" customFormat="1" ht="12.75">
      <c r="B2" s="2" t="s">
        <v>169</v>
      </c>
    </row>
    <row r="3" spans="2:6" s="2" customFormat="1" ht="12.75">
      <c r="B3" s="265"/>
      <c r="C3" s="266">
        <v>2019</v>
      </c>
      <c r="D3" s="266">
        <v>2018</v>
      </c>
      <c r="E3" s="265" t="s">
        <v>88</v>
      </c>
      <c r="F3" s="265" t="s">
        <v>168</v>
      </c>
    </row>
    <row r="4" spans="2:6" ht="12.75">
      <c r="B4" s="267" t="s">
        <v>115</v>
      </c>
      <c r="C4" s="268">
        <f>('Non-life 2019'!N26)*1000</f>
        <v>616783741802.9854</v>
      </c>
      <c r="D4" s="268">
        <v>569964791018</v>
      </c>
      <c r="E4" s="269">
        <f>(C4-D4)/D4</f>
        <v>0.08214358417010845</v>
      </c>
      <c r="F4" s="313">
        <f>C4/$C$8</f>
        <v>0.6405046050386072</v>
      </c>
    </row>
    <row r="5" spans="2:6" ht="12.75">
      <c r="B5" s="267" t="s">
        <v>116</v>
      </c>
      <c r="C5" s="268">
        <f>('life 2019'!H14)*1000</f>
        <v>269233463939</v>
      </c>
      <c r="D5" s="268">
        <v>217119961880</v>
      </c>
      <c r="E5" s="269">
        <f>(C5-D5)/D5</f>
        <v>0.2400216986395871</v>
      </c>
      <c r="F5" s="313">
        <f>C5/$C$8</f>
        <v>0.2795879038240087</v>
      </c>
    </row>
    <row r="6" spans="2:6" ht="12.75">
      <c r="B6" s="267" t="s">
        <v>117</v>
      </c>
      <c r="C6" s="268">
        <f>('HMO''s'!D11)*1000</f>
        <v>76271534776.00002</v>
      </c>
      <c r="D6" s="268">
        <v>69108084090</v>
      </c>
      <c r="E6" s="269">
        <f>(C6-D6)/D6</f>
        <v>0.10365575576760307</v>
      </c>
      <c r="F6" s="313">
        <f>C6/$C$8</f>
        <v>0.0792048589260558</v>
      </c>
    </row>
    <row r="7" spans="2:6" ht="12.75">
      <c r="B7" s="267" t="s">
        <v>120</v>
      </c>
      <c r="C7" s="268">
        <f>('Micro-Insurer'!I7)*1000</f>
        <v>676610473.9999999</v>
      </c>
      <c r="D7" s="268">
        <v>24315675</v>
      </c>
      <c r="E7" s="269">
        <f>(C7-D7)/D7</f>
        <v>26.826102873969152</v>
      </c>
      <c r="F7" s="313">
        <f>C7/$C$8</f>
        <v>0.0007026322113282674</v>
      </c>
    </row>
    <row r="8" spans="2:6" s="2" customFormat="1" ht="12.75">
      <c r="B8" s="265" t="s">
        <v>89</v>
      </c>
      <c r="C8" s="270">
        <f>SUM(C4:C7)</f>
        <v>962965350991.9854</v>
      </c>
      <c r="D8" s="270">
        <f>SUM(D4:D7)</f>
        <v>856217152663</v>
      </c>
      <c r="E8" s="271">
        <f>(C8-D8)/D8</f>
        <v>0.12467421143921016</v>
      </c>
      <c r="F8" s="271">
        <f>C8/$C$8</f>
        <v>1</v>
      </c>
    </row>
    <row r="21" spans="1:5" ht="12.75">
      <c r="A21" s="343" t="s">
        <v>85</v>
      </c>
      <c r="B21" s="344" t="s">
        <v>0</v>
      </c>
      <c r="C21" s="345" t="s">
        <v>175</v>
      </c>
      <c r="D21" s="346" t="s">
        <v>174</v>
      </c>
      <c r="E21" s="345" t="s">
        <v>176</v>
      </c>
    </row>
    <row r="22" spans="1:5" ht="12.75">
      <c r="A22" s="347">
        <v>1</v>
      </c>
      <c r="B22" s="348" t="s">
        <v>1</v>
      </c>
      <c r="C22" s="347">
        <v>155400097</v>
      </c>
      <c r="D22" s="349">
        <v>146605020</v>
      </c>
      <c r="E22" s="350">
        <f aca="true" t="shared" si="0" ref="E22:E43">C22/$C$43*100</f>
        <v>25.19523237524609</v>
      </c>
    </row>
    <row r="23" spans="1:5" ht="12.75">
      <c r="A23" s="347">
        <v>2</v>
      </c>
      <c r="B23" s="348" t="s">
        <v>56</v>
      </c>
      <c r="C23" s="347">
        <v>477764</v>
      </c>
      <c r="D23" s="349">
        <v>0</v>
      </c>
      <c r="E23" s="350">
        <f t="shared" si="0"/>
        <v>0.07746053723844891</v>
      </c>
    </row>
    <row r="24" spans="1:5" ht="12.75">
      <c r="A24" s="347">
        <v>3</v>
      </c>
      <c r="B24" s="348" t="s">
        <v>2</v>
      </c>
      <c r="C24" s="347">
        <v>111102767</v>
      </c>
      <c r="D24" s="349">
        <v>111971369</v>
      </c>
      <c r="E24" s="350">
        <f t="shared" si="0"/>
        <v>18.013245076017057</v>
      </c>
    </row>
    <row r="25" spans="1:5" ht="12.75">
      <c r="A25" s="347">
        <v>4</v>
      </c>
      <c r="B25" s="348" t="s">
        <v>83</v>
      </c>
      <c r="C25" s="347">
        <v>17506005</v>
      </c>
      <c r="D25" s="349">
        <v>13673144</v>
      </c>
      <c r="E25" s="350">
        <f t="shared" si="0"/>
        <v>2.838272771073109</v>
      </c>
    </row>
    <row r="26" spans="1:5" ht="12.75">
      <c r="A26" s="347">
        <v>5</v>
      </c>
      <c r="B26" s="348" t="s">
        <v>3</v>
      </c>
      <c r="C26" s="347">
        <v>25847492.278000005</v>
      </c>
      <c r="D26" s="349">
        <v>24541477.299</v>
      </c>
      <c r="E26" s="350">
        <f t="shared" si="0"/>
        <v>4.19068962525544</v>
      </c>
    </row>
    <row r="27" spans="1:5" ht="12.75">
      <c r="A27" s="347">
        <v>6</v>
      </c>
      <c r="B27" s="348" t="s">
        <v>111</v>
      </c>
      <c r="C27" s="347">
        <v>20025984</v>
      </c>
      <c r="D27" s="349">
        <v>18544068</v>
      </c>
      <c r="E27" s="350">
        <f t="shared" si="0"/>
        <v>3.2468404471006225</v>
      </c>
    </row>
    <row r="28" spans="1:5" ht="12.75">
      <c r="A28" s="347">
        <v>7</v>
      </c>
      <c r="B28" s="348" t="s">
        <v>7</v>
      </c>
      <c r="C28" s="347">
        <v>24044442</v>
      </c>
      <c r="D28" s="349">
        <v>21918590.59</v>
      </c>
      <c r="E28" s="350">
        <f t="shared" si="0"/>
        <v>3.898358593193972</v>
      </c>
    </row>
    <row r="29" spans="1:5" ht="12.75">
      <c r="A29" s="347">
        <v>8</v>
      </c>
      <c r="B29" s="348" t="s">
        <v>19</v>
      </c>
      <c r="C29" s="347">
        <v>18199960.744</v>
      </c>
      <c r="D29" s="349">
        <v>15992658</v>
      </c>
      <c r="E29" s="350">
        <f t="shared" si="0"/>
        <v>2.9507847743842572</v>
      </c>
    </row>
    <row r="30" spans="1:5" ht="12.75">
      <c r="A30" s="347">
        <v>9</v>
      </c>
      <c r="B30" s="348" t="s">
        <v>8</v>
      </c>
      <c r="C30" s="347">
        <v>6294581</v>
      </c>
      <c r="D30" s="349">
        <v>7668940</v>
      </c>
      <c r="E30" s="350">
        <f t="shared" si="0"/>
        <v>1.0205491120112293</v>
      </c>
    </row>
    <row r="31" spans="1:5" ht="12.75">
      <c r="A31" s="347">
        <v>10</v>
      </c>
      <c r="B31" s="348" t="s">
        <v>5</v>
      </c>
      <c r="C31" s="347">
        <v>14944618</v>
      </c>
      <c r="D31" s="349">
        <v>16470362</v>
      </c>
      <c r="E31" s="350">
        <f t="shared" si="0"/>
        <v>2.4229915588101947</v>
      </c>
    </row>
    <row r="32" spans="1:5" ht="12.75">
      <c r="A32" s="347">
        <v>11</v>
      </c>
      <c r="B32" s="348" t="s">
        <v>4</v>
      </c>
      <c r="C32" s="347">
        <v>9159092.3229853</v>
      </c>
      <c r="D32" s="349">
        <v>9088547.017</v>
      </c>
      <c r="E32" s="350">
        <f t="shared" si="0"/>
        <v>1.4849762894546144</v>
      </c>
    </row>
    <row r="33" spans="1:5" ht="12.75">
      <c r="A33" s="347">
        <v>12</v>
      </c>
      <c r="B33" s="348" t="s">
        <v>6</v>
      </c>
      <c r="C33" s="347">
        <v>5269359</v>
      </c>
      <c r="D33" s="349">
        <v>4050934</v>
      </c>
      <c r="E33" s="350">
        <f t="shared" si="0"/>
        <v>0.854328453048484</v>
      </c>
    </row>
    <row r="34" spans="1:5" s="2" customFormat="1" ht="12.75">
      <c r="A34" s="347">
        <v>13</v>
      </c>
      <c r="B34" s="348" t="s">
        <v>37</v>
      </c>
      <c r="C34" s="347">
        <v>15294566</v>
      </c>
      <c r="D34" s="349">
        <v>15493734</v>
      </c>
      <c r="E34" s="350">
        <f t="shared" si="0"/>
        <v>2.479729111420941</v>
      </c>
    </row>
    <row r="35" spans="1:5" ht="12.75">
      <c r="A35" s="347">
        <v>14</v>
      </c>
      <c r="B35" s="348" t="s">
        <v>69</v>
      </c>
      <c r="C35" s="347">
        <v>80834762</v>
      </c>
      <c r="D35" s="349">
        <v>71489963</v>
      </c>
      <c r="E35" s="350">
        <f t="shared" si="0"/>
        <v>13.105851617246495</v>
      </c>
    </row>
    <row r="36" spans="1:5" ht="12.75">
      <c r="A36" s="347">
        <v>15</v>
      </c>
      <c r="B36" s="348" t="s">
        <v>70</v>
      </c>
      <c r="C36" s="347">
        <v>20044543</v>
      </c>
      <c r="D36" s="349">
        <v>13443496.43</v>
      </c>
      <c r="E36" s="350">
        <f t="shared" si="0"/>
        <v>3.2498494434055107</v>
      </c>
    </row>
    <row r="37" spans="1:5" ht="12.75">
      <c r="A37" s="347">
        <v>16</v>
      </c>
      <c r="B37" s="348" t="s">
        <v>9</v>
      </c>
      <c r="C37" s="347">
        <v>5352790</v>
      </c>
      <c r="D37" s="349">
        <v>5809185</v>
      </c>
      <c r="E37" s="350">
        <f t="shared" si="0"/>
        <v>0.8678552363187618</v>
      </c>
    </row>
    <row r="38" spans="1:5" ht="12.75">
      <c r="A38" s="347">
        <v>17</v>
      </c>
      <c r="B38" s="348" t="s">
        <v>51</v>
      </c>
      <c r="C38" s="347">
        <v>1239838.4180000003</v>
      </c>
      <c r="D38" s="349">
        <v>1178017.03</v>
      </c>
      <c r="E38" s="350">
        <f t="shared" si="0"/>
        <v>0.20101671525512305</v>
      </c>
    </row>
    <row r="39" spans="1:5" ht="12.75">
      <c r="A39" s="347">
        <v>18</v>
      </c>
      <c r="B39" s="351" t="s">
        <v>128</v>
      </c>
      <c r="C39" s="347">
        <v>2307815.04</v>
      </c>
      <c r="D39" s="349">
        <v>2654451.0300000003</v>
      </c>
      <c r="E39" s="350">
        <f t="shared" si="0"/>
        <v>0.3741692401381696</v>
      </c>
    </row>
    <row r="40" spans="1:5" ht="12.75">
      <c r="A40" s="347">
        <v>19</v>
      </c>
      <c r="B40" s="351" t="s">
        <v>53</v>
      </c>
      <c r="C40" s="347">
        <v>63036193</v>
      </c>
      <c r="D40" s="349">
        <v>56804359</v>
      </c>
      <c r="E40" s="350">
        <f t="shared" si="0"/>
        <v>10.220145040745123</v>
      </c>
    </row>
    <row r="41" spans="1:5" ht="12.75">
      <c r="A41" s="347">
        <v>20</v>
      </c>
      <c r="B41" s="352" t="s">
        <v>74</v>
      </c>
      <c r="C41" s="347">
        <v>15263610</v>
      </c>
      <c r="D41" s="349">
        <v>12529388</v>
      </c>
      <c r="E41" s="350">
        <f t="shared" si="0"/>
        <v>2.4747101723825176</v>
      </c>
    </row>
    <row r="42" spans="1:5" ht="12.75">
      <c r="A42" s="353">
        <v>21</v>
      </c>
      <c r="B42" s="352" t="s">
        <v>118</v>
      </c>
      <c r="C42" s="347">
        <v>5137462</v>
      </c>
      <c r="D42" s="349">
        <v>37400.459</v>
      </c>
      <c r="E42" s="350">
        <f t="shared" si="0"/>
        <v>0.8329438102538411</v>
      </c>
    </row>
    <row r="43" spans="1:5" ht="12.75">
      <c r="A43" s="343"/>
      <c r="B43" s="344" t="s">
        <v>10</v>
      </c>
      <c r="C43" s="343">
        <f>SUM(C22:C42)</f>
        <v>616783741.8029853</v>
      </c>
      <c r="D43" s="343">
        <f>SUM(D22:D42)</f>
        <v>569965103.8549999</v>
      </c>
      <c r="E43" s="354">
        <f t="shared" si="0"/>
        <v>100</v>
      </c>
    </row>
    <row r="44" spans="1:5" ht="12.75">
      <c r="A44" s="355"/>
      <c r="B44" s="356"/>
      <c r="C44" s="357"/>
      <c r="D44" s="357"/>
      <c r="E44" s="357"/>
    </row>
    <row r="45" spans="1:5" ht="12.75">
      <c r="A45" s="355"/>
      <c r="B45" s="356"/>
      <c r="C45" s="357"/>
      <c r="D45" s="357"/>
      <c r="E45" s="357"/>
    </row>
    <row r="46" spans="1:5" ht="12.75">
      <c r="A46" s="343" t="s">
        <v>85</v>
      </c>
      <c r="B46" s="344" t="s">
        <v>0</v>
      </c>
      <c r="C46" s="345" t="s">
        <v>175</v>
      </c>
      <c r="D46" s="346" t="s">
        <v>174</v>
      </c>
      <c r="E46" s="345" t="s">
        <v>176</v>
      </c>
    </row>
    <row r="47" spans="1:5" ht="12.75">
      <c r="A47" s="353">
        <v>1</v>
      </c>
      <c r="B47" s="352" t="s">
        <v>75</v>
      </c>
      <c r="C47" s="353">
        <v>41589317</v>
      </c>
      <c r="D47" s="358">
        <v>35609656</v>
      </c>
      <c r="E47" s="359">
        <f aca="true" t="shared" si="1" ref="E47:E56">C47/$C$56*100</f>
        <v>15.447305989207512</v>
      </c>
    </row>
    <row r="48" spans="1:5" ht="12.75">
      <c r="A48" s="353">
        <v>2</v>
      </c>
      <c r="B48" s="352" t="s">
        <v>7</v>
      </c>
      <c r="C48" s="353">
        <v>39657401</v>
      </c>
      <c r="D48" s="358">
        <v>33389764</v>
      </c>
      <c r="E48" s="359">
        <f t="shared" si="1"/>
        <v>14.72974437122168</v>
      </c>
    </row>
    <row r="49" spans="1:5" ht="12.75">
      <c r="A49" s="353">
        <v>3</v>
      </c>
      <c r="B49" s="352" t="s">
        <v>68</v>
      </c>
      <c r="C49" s="353">
        <v>47531647</v>
      </c>
      <c r="D49" s="358">
        <v>47892469</v>
      </c>
      <c r="E49" s="359">
        <f t="shared" si="1"/>
        <v>17.654435041094743</v>
      </c>
    </row>
    <row r="50" spans="1:5" ht="12.75">
      <c r="A50" s="353">
        <v>4</v>
      </c>
      <c r="B50" s="352" t="s">
        <v>71</v>
      </c>
      <c r="C50" s="353">
        <v>1831417.9989999998</v>
      </c>
      <c r="D50" s="358">
        <v>2042666</v>
      </c>
      <c r="E50" s="359">
        <f t="shared" si="1"/>
        <v>0.6802341626503541</v>
      </c>
    </row>
    <row r="51" spans="1:5" ht="12.75">
      <c r="A51" s="353">
        <v>5</v>
      </c>
      <c r="B51" s="352" t="s">
        <v>1</v>
      </c>
      <c r="C51" s="353">
        <v>45098513</v>
      </c>
      <c r="D51" s="358">
        <v>27669820</v>
      </c>
      <c r="E51" s="359">
        <f t="shared" si="1"/>
        <v>16.750708600702747</v>
      </c>
    </row>
    <row r="52" spans="1:5" ht="12.75">
      <c r="A52" s="353">
        <v>6</v>
      </c>
      <c r="B52" s="360" t="s">
        <v>52</v>
      </c>
      <c r="C52" s="353">
        <v>39823225.94</v>
      </c>
      <c r="D52" s="358">
        <v>35185473.88</v>
      </c>
      <c r="E52" s="359">
        <f t="shared" si="1"/>
        <v>14.791335875328897</v>
      </c>
    </row>
    <row r="53" spans="1:5" ht="12.75">
      <c r="A53" s="353">
        <v>7</v>
      </c>
      <c r="B53" s="361" t="s">
        <v>73</v>
      </c>
      <c r="C53" s="353">
        <v>36125308</v>
      </c>
      <c r="D53" s="358">
        <v>20242525</v>
      </c>
      <c r="E53" s="359">
        <f t="shared" si="1"/>
        <v>13.417837244847423</v>
      </c>
    </row>
    <row r="54" spans="1:5" ht="12.75">
      <c r="A54" s="353">
        <v>8</v>
      </c>
      <c r="B54" s="361" t="s">
        <v>67</v>
      </c>
      <c r="C54" s="353">
        <v>7499919</v>
      </c>
      <c r="D54" s="358">
        <v>9909184</v>
      </c>
      <c r="E54" s="359">
        <f t="shared" si="1"/>
        <v>2.7856563185991066</v>
      </c>
    </row>
    <row r="55" spans="1:5" ht="12.75">
      <c r="A55" s="362">
        <v>9</v>
      </c>
      <c r="B55" s="361" t="s">
        <v>82</v>
      </c>
      <c r="C55" s="353">
        <v>10076715</v>
      </c>
      <c r="D55" s="358">
        <v>5178404</v>
      </c>
      <c r="E55" s="359">
        <f t="shared" si="1"/>
        <v>3.742742396347533</v>
      </c>
    </row>
    <row r="56" spans="1:5" s="2" customFormat="1" ht="12.75">
      <c r="A56" s="363"/>
      <c r="B56" s="364" t="s">
        <v>10</v>
      </c>
      <c r="C56" s="365">
        <f>SUM(C47:C55)</f>
        <v>269233463.939</v>
      </c>
      <c r="D56" s="365">
        <f>SUM(D47:D55)</f>
        <v>217119961.88</v>
      </c>
      <c r="E56" s="359">
        <f t="shared" si="1"/>
        <v>100</v>
      </c>
    </row>
    <row r="57" spans="1:5" ht="12.75">
      <c r="A57" s="355"/>
      <c r="B57" s="356"/>
      <c r="C57" s="357"/>
      <c r="D57" s="357"/>
      <c r="E57" s="357"/>
    </row>
    <row r="58" spans="1:5" ht="12.75">
      <c r="A58" s="355"/>
      <c r="B58" s="356" t="s">
        <v>119</v>
      </c>
      <c r="C58" s="357"/>
      <c r="D58" s="357"/>
      <c r="E58" s="357"/>
    </row>
    <row r="59" spans="1:5" ht="12.75">
      <c r="A59" s="343" t="s">
        <v>85</v>
      </c>
      <c r="B59" s="344" t="s">
        <v>0</v>
      </c>
      <c r="C59" s="345" t="s">
        <v>175</v>
      </c>
      <c r="D59" s="346" t="s">
        <v>174</v>
      </c>
      <c r="E59" s="345" t="s">
        <v>176</v>
      </c>
    </row>
    <row r="60" spans="1:5" ht="12.75">
      <c r="A60" s="353">
        <v>1</v>
      </c>
      <c r="B60" s="352" t="s">
        <v>113</v>
      </c>
      <c r="C60" s="353">
        <v>676610.4739999999</v>
      </c>
      <c r="D60" s="366">
        <v>24315.675000000003</v>
      </c>
      <c r="E60" s="367">
        <f>C60/$C$62*100</f>
        <v>100</v>
      </c>
    </row>
    <row r="61" spans="1:5" ht="12.75">
      <c r="A61" s="353">
        <v>2</v>
      </c>
      <c r="B61" s="368" t="s">
        <v>138</v>
      </c>
      <c r="C61" s="353"/>
      <c r="D61" s="369"/>
      <c r="E61" s="370"/>
    </row>
    <row r="62" spans="1:5" ht="12.75">
      <c r="A62" s="363"/>
      <c r="B62" s="364" t="s">
        <v>10</v>
      </c>
      <c r="C62" s="365">
        <f>SUM(C60:C61)</f>
        <v>676610.4739999999</v>
      </c>
      <c r="D62" s="365">
        <f>SUM(D60:D61)</f>
        <v>24315.675000000003</v>
      </c>
      <c r="E62" s="365">
        <f>SUM(E60:E61)</f>
        <v>100</v>
      </c>
    </row>
    <row r="63" spans="1:5" ht="12.75">
      <c r="A63" s="371"/>
      <c r="B63" s="356"/>
      <c r="C63" s="372"/>
      <c r="D63" s="372"/>
      <c r="E63" s="372"/>
    </row>
    <row r="64" spans="1:5" ht="12.75">
      <c r="A64" s="371"/>
      <c r="B64" s="356" t="s">
        <v>177</v>
      </c>
      <c r="C64" s="372"/>
      <c r="D64" s="372"/>
      <c r="E64" s="372"/>
    </row>
    <row r="65" spans="1:5" ht="12.75">
      <c r="A65" s="343" t="s">
        <v>85</v>
      </c>
      <c r="B65" s="344" t="s">
        <v>0</v>
      </c>
      <c r="C65" s="345" t="s">
        <v>175</v>
      </c>
      <c r="D65" s="346" t="s">
        <v>174</v>
      </c>
      <c r="E65" s="345" t="s">
        <v>176</v>
      </c>
    </row>
    <row r="66" spans="1:5" ht="12.75">
      <c r="A66" s="353">
        <v>1</v>
      </c>
      <c r="B66" s="352" t="s">
        <v>86</v>
      </c>
      <c r="C66" s="353">
        <v>33346570</v>
      </c>
      <c r="D66" s="358">
        <f>VLOOKUP(B66,'HMO''s'!$B$6:$E$104,4,FALSE)</f>
        <v>30355454</v>
      </c>
      <c r="E66" s="367">
        <f aca="true" t="shared" si="2" ref="E66:E71">C66/$C$71*100</f>
        <v>43.72085876852317</v>
      </c>
    </row>
    <row r="67" spans="1:5" ht="12.75">
      <c r="A67" s="353">
        <v>2</v>
      </c>
      <c r="B67" s="352" t="s">
        <v>92</v>
      </c>
      <c r="C67" s="353">
        <v>29740000</v>
      </c>
      <c r="D67" s="358">
        <f>VLOOKUP(B67,'HMO''s'!$B$6:$E$104,4,FALSE)</f>
        <v>29036234</v>
      </c>
      <c r="E67" s="367">
        <f t="shared" si="2"/>
        <v>38.992266364303106</v>
      </c>
    </row>
    <row r="68" spans="1:5" ht="12.75">
      <c r="A68" s="353">
        <v>3</v>
      </c>
      <c r="B68" s="352" t="s">
        <v>93</v>
      </c>
      <c r="C68" s="353">
        <v>3909835.326</v>
      </c>
      <c r="D68" s="358">
        <f>VLOOKUP(B68,'HMO''s'!$B$6:$E$104,4,FALSE)</f>
        <v>3274914.111</v>
      </c>
      <c r="E68" s="367">
        <f t="shared" si="2"/>
        <v>5.126205126830998</v>
      </c>
    </row>
    <row r="69" spans="1:5" ht="12.75">
      <c r="A69" s="353">
        <v>4</v>
      </c>
      <c r="B69" s="352" t="s">
        <v>94</v>
      </c>
      <c r="C69" s="353">
        <v>8951898.579</v>
      </c>
      <c r="D69" s="358">
        <f>VLOOKUP(B69,'HMO''s'!$B$6:$E$104,4,FALSE)</f>
        <v>5293105.979</v>
      </c>
      <c r="E69" s="367">
        <f t="shared" si="2"/>
        <v>11.73688008939457</v>
      </c>
    </row>
    <row r="70" spans="1:5" ht="12.75">
      <c r="A70" s="353">
        <v>5</v>
      </c>
      <c r="B70" s="352" t="s">
        <v>95</v>
      </c>
      <c r="C70" s="353">
        <v>323230.871</v>
      </c>
      <c r="D70" s="358">
        <f>VLOOKUP(B70,'HMO''s'!$B$6:$E$104,4,FALSE)</f>
        <v>1148376</v>
      </c>
      <c r="E70" s="367">
        <f t="shared" si="2"/>
        <v>0.4237896509481405</v>
      </c>
    </row>
    <row r="71" spans="1:5" ht="12.75">
      <c r="A71" s="363"/>
      <c r="B71" s="364" t="s">
        <v>10</v>
      </c>
      <c r="C71" s="365">
        <f>SUM(C66:C70)</f>
        <v>76271534.77600001</v>
      </c>
      <c r="D71" s="365">
        <f>SUM(D66:D70)</f>
        <v>69108084.09</v>
      </c>
      <c r="E71" s="373">
        <f t="shared" si="2"/>
        <v>100</v>
      </c>
    </row>
    <row r="72" spans="1:5" ht="12.75">
      <c r="A72" s="342"/>
      <c r="B72" s="371"/>
      <c r="C72" s="356"/>
      <c r="D72" s="374"/>
      <c r="E72" s="372"/>
    </row>
    <row r="73" spans="1:5" ht="12.75">
      <c r="A73" s="342"/>
      <c r="B73" s="342"/>
      <c r="C73" s="342"/>
      <c r="D73" s="342"/>
      <c r="E73" s="342"/>
    </row>
    <row r="84" s="2" customFormat="1" ht="12.75"/>
    <row r="85" spans="6:9" ht="13.5">
      <c r="F85" s="54"/>
      <c r="G85" s="54"/>
      <c r="H85" s="54"/>
      <c r="I85" s="5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59"/>
  <sheetViews>
    <sheetView showGridLines="0" zoomScalePageLayoutView="0" workbookViewId="0" topLeftCell="A1">
      <selection activeCell="I14" sqref="I14"/>
    </sheetView>
  </sheetViews>
  <sheetFormatPr defaultColWidth="9.140625" defaultRowHeight="19.5" customHeight="1"/>
  <cols>
    <col min="1" max="1" width="1.421875" style="0" customWidth="1"/>
    <col min="2" max="2" width="4.140625" style="4" bestFit="1" customWidth="1"/>
    <col min="3" max="3" width="13.421875" style="4" customWidth="1"/>
    <col min="4" max="4" width="11.57421875" style="4" customWidth="1"/>
    <col min="5" max="5" width="10.28125" style="4" bestFit="1" customWidth="1"/>
    <col min="6" max="6" width="9.8515625" style="4" bestFit="1" customWidth="1"/>
    <col min="7" max="7" width="12.57421875" style="8" customWidth="1"/>
    <col min="8" max="8" width="10.7109375" style="4" bestFit="1" customWidth="1"/>
    <col min="9" max="9" width="10.7109375" style="14" bestFit="1" customWidth="1"/>
    <col min="10" max="10" width="11.57421875" style="23" customWidth="1"/>
    <col min="11" max="11" width="9.00390625" style="23" bestFit="1" customWidth="1"/>
    <col min="12" max="12" width="14.8515625" style="0" bestFit="1" customWidth="1"/>
    <col min="13" max="13" width="8.28125" style="0" bestFit="1" customWidth="1"/>
    <col min="14" max="58" width="9.140625" style="23" customWidth="1"/>
  </cols>
  <sheetData>
    <row r="1" spans="4:10" ht="19.5" customHeight="1">
      <c r="D1" s="312"/>
      <c r="I1" s="14" t="s">
        <v>123</v>
      </c>
      <c r="J1" s="228"/>
    </row>
    <row r="2" spans="3:9" ht="19.5" customHeight="1">
      <c r="C2" s="4" t="s">
        <v>160</v>
      </c>
      <c r="F2" s="8"/>
      <c r="G2" s="4"/>
      <c r="H2" s="14"/>
      <c r="I2"/>
    </row>
    <row r="3" ht="19.5" customHeight="1">
      <c r="G3" s="8" t="s">
        <v>35</v>
      </c>
    </row>
    <row r="4" spans="2:12" ht="21" customHeight="1">
      <c r="B4" s="64" t="s">
        <v>85</v>
      </c>
      <c r="C4" s="5" t="s">
        <v>0</v>
      </c>
      <c r="D4" s="5" t="s">
        <v>20</v>
      </c>
      <c r="E4" s="5" t="s">
        <v>21</v>
      </c>
      <c r="F4" s="5" t="s">
        <v>66</v>
      </c>
      <c r="G4" s="5" t="s">
        <v>22</v>
      </c>
      <c r="H4" s="292" t="s">
        <v>127</v>
      </c>
      <c r="I4" s="293" t="s">
        <v>122</v>
      </c>
      <c r="J4" s="68" t="s">
        <v>158</v>
      </c>
      <c r="K4" s="68" t="s">
        <v>159</v>
      </c>
      <c r="L4" s="65" t="s">
        <v>90</v>
      </c>
    </row>
    <row r="5" spans="2:12" ht="19.5" customHeight="1">
      <c r="B5" s="16">
        <v>1</v>
      </c>
      <c r="C5" s="64" t="s">
        <v>75</v>
      </c>
      <c r="D5" s="5">
        <v>373312</v>
      </c>
      <c r="E5" s="5">
        <v>20374268</v>
      </c>
      <c r="F5" s="5">
        <v>20841737</v>
      </c>
      <c r="G5" s="5">
        <v>0</v>
      </c>
      <c r="H5" s="24">
        <f>SUM(D5:G5)</f>
        <v>41589317</v>
      </c>
      <c r="I5" s="64">
        <v>35609656</v>
      </c>
      <c r="J5" s="66">
        <f>(H5-I5)/I5</f>
        <v>0.16792245900943273</v>
      </c>
      <c r="K5" s="248">
        <f>(H5/$H$14)</f>
        <v>0.15447305989207513</v>
      </c>
      <c r="L5" s="248">
        <f>(I5/$I$14)</f>
        <v>0.16400912975326098</v>
      </c>
    </row>
    <row r="6" spans="2:12" ht="19.5" customHeight="1">
      <c r="B6" s="61">
        <v>2</v>
      </c>
      <c r="C6" s="64" t="s">
        <v>68</v>
      </c>
      <c r="D6" s="5">
        <v>47531647</v>
      </c>
      <c r="E6" s="5"/>
      <c r="F6" s="5"/>
      <c r="G6" s="5"/>
      <c r="H6" s="24">
        <f aca="true" t="shared" si="0" ref="H6:H11">SUM(D6:G6)</f>
        <v>47531647</v>
      </c>
      <c r="I6" s="64">
        <v>47892469</v>
      </c>
      <c r="J6" s="66">
        <f aca="true" t="shared" si="1" ref="J6:J11">(H6-I6)/I6</f>
        <v>-0.007534002893022701</v>
      </c>
      <c r="K6" s="248">
        <f>(H6/$H$14)</f>
        <v>0.17654435041094743</v>
      </c>
      <c r="L6" s="248">
        <f aca="true" t="shared" si="2" ref="L6:L13">(I6/$I$14)</f>
        <v>0.22058068076886309</v>
      </c>
    </row>
    <row r="7" spans="2:12" ht="19.5" customHeight="1">
      <c r="B7" s="16">
        <v>3</v>
      </c>
      <c r="C7" s="64" t="s">
        <v>7</v>
      </c>
      <c r="D7" s="5">
        <f>19730333+460000</f>
        <v>20190333</v>
      </c>
      <c r="E7" s="64">
        <v>7074755</v>
      </c>
      <c r="F7" s="5">
        <v>0</v>
      </c>
      <c r="G7" s="5">
        <v>12392313</v>
      </c>
      <c r="H7" s="24">
        <f t="shared" si="0"/>
        <v>39657401</v>
      </c>
      <c r="I7" s="64">
        <v>33389764</v>
      </c>
      <c r="J7" s="66">
        <f t="shared" si="1"/>
        <v>0.1877113297356639</v>
      </c>
      <c r="K7" s="248">
        <f aca="true" t="shared" si="3" ref="K7:K12">(H7/$H$14)</f>
        <v>0.14729744371221679</v>
      </c>
      <c r="L7" s="248">
        <f t="shared" si="2"/>
        <v>0.15378486487785117</v>
      </c>
    </row>
    <row r="8" spans="2:12" ht="19.5" customHeight="1">
      <c r="B8" s="61">
        <v>4</v>
      </c>
      <c r="C8" s="311" t="s">
        <v>52</v>
      </c>
      <c r="D8" s="15">
        <v>39823225.94</v>
      </c>
      <c r="E8" s="29"/>
      <c r="F8" s="15"/>
      <c r="G8" s="15"/>
      <c r="H8" s="24">
        <f t="shared" si="0"/>
        <v>39823225.94</v>
      </c>
      <c r="I8" s="26">
        <v>35185473.88</v>
      </c>
      <c r="J8" s="66">
        <f t="shared" si="1"/>
        <v>0.13180871389758855</v>
      </c>
      <c r="K8" s="248">
        <f t="shared" si="3"/>
        <v>0.14791335875328898</v>
      </c>
      <c r="L8" s="248">
        <f t="shared" si="2"/>
        <v>0.1620554534706793</v>
      </c>
    </row>
    <row r="9" spans="2:12" ht="19.5" customHeight="1">
      <c r="B9" s="16">
        <v>5</v>
      </c>
      <c r="C9" s="64" t="s">
        <v>1</v>
      </c>
      <c r="D9" s="6">
        <v>37501449</v>
      </c>
      <c r="E9" s="5">
        <v>6536045</v>
      </c>
      <c r="F9" s="5"/>
      <c r="G9" s="5">
        <v>1061019</v>
      </c>
      <c r="H9" s="24">
        <f t="shared" si="0"/>
        <v>45098513</v>
      </c>
      <c r="I9" s="64">
        <v>27669820</v>
      </c>
      <c r="J9" s="66">
        <f t="shared" si="1"/>
        <v>0.6298809677836719</v>
      </c>
      <c r="K9" s="248">
        <f t="shared" si="3"/>
        <v>0.16750708600702746</v>
      </c>
      <c r="L9" s="248">
        <f t="shared" si="2"/>
        <v>0.12744023976612906</v>
      </c>
    </row>
    <row r="10" spans="2:12" ht="19.5" customHeight="1">
      <c r="B10" s="61">
        <v>6</v>
      </c>
      <c r="C10" s="64" t="s">
        <v>71</v>
      </c>
      <c r="D10" s="64">
        <v>1027844.426</v>
      </c>
      <c r="E10" s="64">
        <v>803573.573</v>
      </c>
      <c r="F10" s="64"/>
      <c r="G10" s="64"/>
      <c r="H10" s="24">
        <f t="shared" si="0"/>
        <v>1831417.9989999998</v>
      </c>
      <c r="I10" s="64">
        <v>2042666</v>
      </c>
      <c r="J10" s="66">
        <f t="shared" si="1"/>
        <v>-0.10341778881128885</v>
      </c>
      <c r="K10" s="248">
        <f t="shared" si="3"/>
        <v>0.006802341626503541</v>
      </c>
      <c r="L10" s="248">
        <f t="shared" si="2"/>
        <v>0.009408006441752052</v>
      </c>
    </row>
    <row r="11" spans="2:12" ht="19.5" customHeight="1">
      <c r="B11" s="16">
        <v>7</v>
      </c>
      <c r="C11" s="64" t="s">
        <v>73</v>
      </c>
      <c r="D11" s="125">
        <v>26726321</v>
      </c>
      <c r="E11" s="126">
        <v>5312694</v>
      </c>
      <c r="F11" s="126">
        <v>4086293</v>
      </c>
      <c r="G11" s="126"/>
      <c r="H11" s="24">
        <f t="shared" si="0"/>
        <v>36125308</v>
      </c>
      <c r="I11" s="26">
        <v>20242525</v>
      </c>
      <c r="J11" s="66">
        <f t="shared" si="1"/>
        <v>0.7846245959928418</v>
      </c>
      <c r="K11" s="248">
        <f t="shared" si="3"/>
        <v>0.13417837244847422</v>
      </c>
      <c r="L11" s="248">
        <f t="shared" si="2"/>
        <v>0.0932319848655272</v>
      </c>
    </row>
    <row r="12" spans="1:58" s="3" customFormat="1" ht="19.5" customHeight="1">
      <c r="A12" s="21"/>
      <c r="B12" s="61">
        <v>8</v>
      </c>
      <c r="C12" s="64" t="s">
        <v>67</v>
      </c>
      <c r="D12" s="123">
        <v>7499919</v>
      </c>
      <c r="E12" s="123"/>
      <c r="F12" s="123"/>
      <c r="G12" s="123"/>
      <c r="H12" s="137">
        <f>SUM(D12:G12)</f>
        <v>7499919</v>
      </c>
      <c r="I12" s="123">
        <v>9909184</v>
      </c>
      <c r="J12" s="66">
        <f>(H12-I12)/I12</f>
        <v>-0.24313455073596374</v>
      </c>
      <c r="K12" s="247">
        <f t="shared" si="3"/>
        <v>0.027856563185991064</v>
      </c>
      <c r="L12" s="247">
        <f t="shared" si="2"/>
        <v>0.04563921213967745</v>
      </c>
      <c r="M12" s="21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</row>
    <row r="13" spans="1:58" s="3" customFormat="1" ht="19.5" customHeight="1">
      <c r="A13" s="23"/>
      <c r="B13" s="63">
        <v>9</v>
      </c>
      <c r="C13" s="64" t="s">
        <v>82</v>
      </c>
      <c r="D13" s="62">
        <v>10076715</v>
      </c>
      <c r="E13" s="62"/>
      <c r="F13" s="62"/>
      <c r="G13" s="62"/>
      <c r="H13" s="24">
        <f>SUM(D13:G13)</f>
        <v>10076715</v>
      </c>
      <c r="I13" s="124">
        <v>5178404</v>
      </c>
      <c r="J13" s="161">
        <v>0</v>
      </c>
      <c r="K13" s="248">
        <f>(H13/$H$14)</f>
        <v>0.03742742396347533</v>
      </c>
      <c r="L13" s="248">
        <f t="shared" si="2"/>
        <v>0.023850427916259728</v>
      </c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</row>
    <row r="14" spans="1:13" ht="19.5" customHeight="1">
      <c r="A14" s="21"/>
      <c r="B14" s="138"/>
      <c r="C14" s="11" t="s">
        <v>10</v>
      </c>
      <c r="D14" s="139">
        <f aca="true" t="shared" si="4" ref="D14:I14">SUM(D5:D13)</f>
        <v>190750766.366</v>
      </c>
      <c r="E14" s="139">
        <f t="shared" si="4"/>
        <v>40101335.573</v>
      </c>
      <c r="F14" s="139">
        <f t="shared" si="4"/>
        <v>24928030</v>
      </c>
      <c r="G14" s="139">
        <f t="shared" si="4"/>
        <v>13453332</v>
      </c>
      <c r="H14" s="139">
        <f>SUM(H5:H13)</f>
        <v>269233463.939</v>
      </c>
      <c r="I14" s="139">
        <f t="shared" si="4"/>
        <v>217119961.88</v>
      </c>
      <c r="J14" s="249">
        <f>(H14-I14)/I14</f>
        <v>0.24002169863958717</v>
      </c>
      <c r="K14" s="249">
        <f>(H14/$H$14)</f>
        <v>1</v>
      </c>
      <c r="L14" s="249">
        <f>(I14/$I$14)</f>
        <v>1</v>
      </c>
      <c r="M14" s="21"/>
    </row>
    <row r="15" spans="2:9" s="23" customFormat="1" ht="19.5" customHeight="1">
      <c r="B15" s="4"/>
      <c r="C15" s="4"/>
      <c r="D15" s="4"/>
      <c r="E15" s="4"/>
      <c r="F15" s="4"/>
      <c r="G15" s="8"/>
      <c r="H15" s="27"/>
      <c r="I15" s="28"/>
    </row>
    <row r="16" spans="4:9" ht="19.5" customHeight="1">
      <c r="D16" s="4" t="s">
        <v>161</v>
      </c>
      <c r="H16" s="27"/>
      <c r="I16" s="28"/>
    </row>
    <row r="17" spans="7:9" ht="19.5" customHeight="1">
      <c r="G17" s="8" t="s">
        <v>35</v>
      </c>
      <c r="H17" s="27"/>
      <c r="I17" s="28"/>
    </row>
    <row r="18" spans="2:10" ht="19.5" customHeight="1">
      <c r="B18" s="64" t="s">
        <v>85</v>
      </c>
      <c r="C18" s="19" t="s">
        <v>0</v>
      </c>
      <c r="D18" s="19" t="s">
        <v>20</v>
      </c>
      <c r="E18" s="19" t="s">
        <v>21</v>
      </c>
      <c r="F18" s="19" t="s">
        <v>66</v>
      </c>
      <c r="G18" s="19" t="s">
        <v>22</v>
      </c>
      <c r="H18" s="292" t="s">
        <v>127</v>
      </c>
      <c r="I18" s="293" t="s">
        <v>122</v>
      </c>
      <c r="J18" s="67" t="s">
        <v>158</v>
      </c>
    </row>
    <row r="19" spans="2:10" ht="19.5" customHeight="1">
      <c r="B19" s="16">
        <v>1</v>
      </c>
      <c r="C19" s="5" t="s">
        <v>75</v>
      </c>
      <c r="D19" s="5">
        <v>0</v>
      </c>
      <c r="E19" s="5">
        <v>2197141</v>
      </c>
      <c r="F19" s="5">
        <v>10501778</v>
      </c>
      <c r="G19" s="5">
        <v>0</v>
      </c>
      <c r="H19" s="9">
        <f aca="true" t="shared" si="5" ref="H19:H27">SUM(D19:G19)</f>
        <v>12698919</v>
      </c>
      <c r="I19" s="156">
        <v>14373468</v>
      </c>
      <c r="J19" s="162">
        <f>(H19-I19)/I19</f>
        <v>-0.11650278137468285</v>
      </c>
    </row>
    <row r="20" spans="2:10" ht="19.5" customHeight="1">
      <c r="B20" s="63">
        <v>2</v>
      </c>
      <c r="C20" s="64" t="s">
        <v>2</v>
      </c>
      <c r="D20" s="5">
        <v>2305207</v>
      </c>
      <c r="E20" s="5"/>
      <c r="F20" s="5"/>
      <c r="G20" s="5"/>
      <c r="H20" s="9">
        <f>SUM(D20:G20)</f>
        <v>2305207</v>
      </c>
      <c r="I20" s="156">
        <v>2245938</v>
      </c>
      <c r="J20" s="162">
        <f aca="true" t="shared" si="6" ref="J20:J25">(H20-I20)/I20</f>
        <v>0.02638941947640585</v>
      </c>
    </row>
    <row r="21" spans="2:10" ht="19.5" customHeight="1">
      <c r="B21" s="16">
        <v>3</v>
      </c>
      <c r="C21" s="64" t="s">
        <v>7</v>
      </c>
      <c r="D21" s="5">
        <v>300206</v>
      </c>
      <c r="E21" s="5">
        <v>2997064</v>
      </c>
      <c r="F21" s="5"/>
      <c r="G21" s="5"/>
      <c r="H21" s="9">
        <f t="shared" si="5"/>
        <v>3297270</v>
      </c>
      <c r="I21" s="156">
        <v>2564200</v>
      </c>
      <c r="J21" s="162">
        <f t="shared" si="6"/>
        <v>0.28588643631542</v>
      </c>
    </row>
    <row r="22" spans="2:10" ht="19.5" customHeight="1">
      <c r="B22" s="63">
        <v>4</v>
      </c>
      <c r="C22" s="64" t="s">
        <v>52</v>
      </c>
      <c r="D22" s="10">
        <v>7227015.79</v>
      </c>
      <c r="E22" s="10"/>
      <c r="F22" s="10"/>
      <c r="G22" s="10"/>
      <c r="H22" s="9">
        <f>SUM(D22:G22)</f>
        <v>7227015.79</v>
      </c>
      <c r="I22" s="256">
        <v>6769196.53</v>
      </c>
      <c r="J22" s="162">
        <f t="shared" si="6"/>
        <v>0.06763273277279183</v>
      </c>
    </row>
    <row r="23" spans="2:10" ht="19.5" customHeight="1">
      <c r="B23" s="16">
        <v>5</v>
      </c>
      <c r="C23" s="64" t="s">
        <v>1</v>
      </c>
      <c r="D23" s="5">
        <v>58331</v>
      </c>
      <c r="E23" s="5">
        <v>2283875</v>
      </c>
      <c r="F23" s="5"/>
      <c r="G23" s="5"/>
      <c r="H23" s="9">
        <f>SUM(D23:G23)</f>
        <v>2342206</v>
      </c>
      <c r="I23" s="156">
        <v>1604422</v>
      </c>
      <c r="J23" s="162">
        <f t="shared" si="6"/>
        <v>0.4598441058524503</v>
      </c>
    </row>
    <row r="24" spans="2:10" ht="19.5" customHeight="1">
      <c r="B24" s="63">
        <v>6</v>
      </c>
      <c r="C24" s="64" t="s">
        <v>71</v>
      </c>
      <c r="D24" s="64">
        <v>1956.866</v>
      </c>
      <c r="E24" s="64">
        <v>193052.225</v>
      </c>
      <c r="F24" s="64"/>
      <c r="G24" s="64"/>
      <c r="H24" s="9">
        <f t="shared" si="5"/>
        <v>195009.09100000001</v>
      </c>
      <c r="I24" s="156">
        <v>129654</v>
      </c>
      <c r="J24" s="162">
        <f t="shared" si="6"/>
        <v>0.5040730791182687</v>
      </c>
    </row>
    <row r="25" spans="2:10" ht="19.5" customHeight="1">
      <c r="B25" s="16">
        <v>7</v>
      </c>
      <c r="C25" s="64" t="s">
        <v>73</v>
      </c>
      <c r="D25" s="127">
        <v>996461</v>
      </c>
      <c r="E25" s="127">
        <v>964262</v>
      </c>
      <c r="F25" s="127">
        <v>2043147</v>
      </c>
      <c r="G25" s="127"/>
      <c r="H25" s="9">
        <f t="shared" si="5"/>
        <v>4003870</v>
      </c>
      <c r="I25" s="256">
        <v>3383662</v>
      </c>
      <c r="J25" s="162">
        <f t="shared" si="6"/>
        <v>0.1832949035689735</v>
      </c>
    </row>
    <row r="26" spans="2:10" ht="19.5" customHeight="1">
      <c r="B26" s="63">
        <v>8</v>
      </c>
      <c r="C26" s="64" t="s">
        <v>72</v>
      </c>
      <c r="D26" s="10">
        <v>1133353</v>
      </c>
      <c r="E26" s="10"/>
      <c r="F26" s="10"/>
      <c r="G26" s="10"/>
      <c r="H26" s="9">
        <f t="shared" si="5"/>
        <v>1133353</v>
      </c>
      <c r="I26" s="256">
        <v>3393361</v>
      </c>
      <c r="J26" s="257">
        <v>0</v>
      </c>
    </row>
    <row r="27" spans="1:13" ht="19.5" customHeight="1">
      <c r="A27" s="23"/>
      <c r="B27" s="63">
        <v>9</v>
      </c>
      <c r="C27" s="64" t="s">
        <v>82</v>
      </c>
      <c r="D27" s="10">
        <v>0</v>
      </c>
      <c r="E27" s="10"/>
      <c r="F27" s="10"/>
      <c r="G27" s="10"/>
      <c r="H27" s="9">
        <f t="shared" si="5"/>
        <v>0</v>
      </c>
      <c r="I27" s="256">
        <v>0</v>
      </c>
      <c r="J27" s="257">
        <v>0</v>
      </c>
      <c r="L27" s="23"/>
      <c r="M27" s="23"/>
    </row>
    <row r="28" spans="1:13" ht="19.5" customHeight="1">
      <c r="A28" s="23"/>
      <c r="B28" s="17"/>
      <c r="C28" s="11" t="s">
        <v>10</v>
      </c>
      <c r="D28" s="11">
        <f aca="true" t="shared" si="7" ref="D28:I28">SUM(D19:D27)</f>
        <v>12022530.656</v>
      </c>
      <c r="E28" s="11">
        <f t="shared" si="7"/>
        <v>8635394.225</v>
      </c>
      <c r="F28" s="11">
        <f t="shared" si="7"/>
        <v>12544925</v>
      </c>
      <c r="G28" s="11">
        <f t="shared" si="7"/>
        <v>0</v>
      </c>
      <c r="H28" s="11">
        <f t="shared" si="7"/>
        <v>33202849.880999997</v>
      </c>
      <c r="I28" s="11">
        <f t="shared" si="7"/>
        <v>34463901.53</v>
      </c>
      <c r="J28" s="162">
        <f>(H28-I28)/I28</f>
        <v>-0.03659050754605623</v>
      </c>
      <c r="L28" s="23"/>
      <c r="M28" s="23"/>
    </row>
    <row r="29" spans="1:13" ht="19.5" customHeight="1">
      <c r="A29" s="23"/>
      <c r="L29" s="23"/>
      <c r="M29" s="23"/>
    </row>
    <row r="31" ht="19.5" customHeight="1">
      <c r="D31" s="4" t="s">
        <v>162</v>
      </c>
    </row>
    <row r="32" ht="19.5" customHeight="1">
      <c r="G32" s="30" t="s">
        <v>35</v>
      </c>
    </row>
    <row r="33" spans="2:10" ht="19.5" customHeight="1">
      <c r="B33" s="18" t="s">
        <v>85</v>
      </c>
      <c r="C33" s="19" t="s">
        <v>0</v>
      </c>
      <c r="D33" s="19" t="s">
        <v>20</v>
      </c>
      <c r="E33" s="19" t="s">
        <v>21</v>
      </c>
      <c r="F33" s="19" t="s">
        <v>66</v>
      </c>
      <c r="G33" s="19" t="s">
        <v>22</v>
      </c>
      <c r="H33" s="292" t="s">
        <v>127</v>
      </c>
      <c r="I33" s="293" t="s">
        <v>122</v>
      </c>
      <c r="J33" s="68" t="s">
        <v>158</v>
      </c>
    </row>
    <row r="34" spans="2:10" ht="19.5" customHeight="1">
      <c r="B34" s="16">
        <v>1</v>
      </c>
      <c r="C34" s="64" t="s">
        <v>75</v>
      </c>
      <c r="D34" s="5">
        <f>D5-D19</f>
        <v>373312</v>
      </c>
      <c r="E34" s="64">
        <f>E5-E19</f>
        <v>18177127</v>
      </c>
      <c r="F34" s="64">
        <f>F5-F19</f>
        <v>10339959</v>
      </c>
      <c r="G34" s="5">
        <f>G5-G19</f>
        <v>0</v>
      </c>
      <c r="H34" s="9">
        <f>H5-H19</f>
        <v>28890398</v>
      </c>
      <c r="I34" s="9">
        <v>21236188</v>
      </c>
      <c r="J34" s="162">
        <f>(H34-I34)/I34</f>
        <v>0.36043239021993967</v>
      </c>
    </row>
    <row r="35" spans="2:10" ht="19.5" customHeight="1">
      <c r="B35" s="16">
        <v>2</v>
      </c>
      <c r="C35" s="64" t="s">
        <v>2</v>
      </c>
      <c r="D35" s="5">
        <f aca="true" t="shared" si="8" ref="D35:E41">D6-D20</f>
        <v>45226440</v>
      </c>
      <c r="E35" s="5">
        <f t="shared" si="8"/>
        <v>0</v>
      </c>
      <c r="F35" s="5">
        <f aca="true" t="shared" si="9" ref="F35:F42">F6-F20</f>
        <v>0</v>
      </c>
      <c r="G35" s="5">
        <f aca="true" t="shared" si="10" ref="G35:H41">G6-G20</f>
        <v>0</v>
      </c>
      <c r="H35" s="9">
        <f t="shared" si="10"/>
        <v>45226440</v>
      </c>
      <c r="I35" s="9">
        <v>45646531</v>
      </c>
      <c r="J35" s="162">
        <f aca="true" t="shared" si="11" ref="J35:J41">(H35-I35)/I35</f>
        <v>-0.009203130901666986</v>
      </c>
    </row>
    <row r="36" spans="2:10" ht="19.5" customHeight="1">
      <c r="B36" s="16">
        <v>3</v>
      </c>
      <c r="C36" s="64" t="s">
        <v>7</v>
      </c>
      <c r="D36" s="5">
        <f t="shared" si="8"/>
        <v>19890127</v>
      </c>
      <c r="E36" s="5">
        <f t="shared" si="8"/>
        <v>4077691</v>
      </c>
      <c r="F36" s="5">
        <f t="shared" si="9"/>
        <v>0</v>
      </c>
      <c r="G36" s="5">
        <f t="shared" si="10"/>
        <v>12392313</v>
      </c>
      <c r="H36" s="9">
        <f t="shared" si="10"/>
        <v>36360131</v>
      </c>
      <c r="I36" s="9">
        <v>30825564</v>
      </c>
      <c r="J36" s="162">
        <f t="shared" si="11"/>
        <v>0.17954471165555966</v>
      </c>
    </row>
    <row r="37" spans="2:10" ht="19.5" customHeight="1">
      <c r="B37" s="16">
        <v>4</v>
      </c>
      <c r="C37" s="64" t="s">
        <v>52</v>
      </c>
      <c r="D37" s="5">
        <f t="shared" si="8"/>
        <v>32596210.15</v>
      </c>
      <c r="E37" s="5">
        <f t="shared" si="8"/>
        <v>0</v>
      </c>
      <c r="F37" s="5">
        <f t="shared" si="9"/>
        <v>0</v>
      </c>
      <c r="G37" s="5">
        <f t="shared" si="10"/>
        <v>0</v>
      </c>
      <c r="H37" s="9">
        <f t="shared" si="10"/>
        <v>32596210.15</v>
      </c>
      <c r="I37" s="9">
        <v>28416277.35</v>
      </c>
      <c r="J37" s="162">
        <f t="shared" si="11"/>
        <v>0.14709642464831857</v>
      </c>
    </row>
    <row r="38" spans="2:10" ht="19.5" customHeight="1">
      <c r="B38" s="16">
        <v>5</v>
      </c>
      <c r="C38" s="64" t="s">
        <v>1</v>
      </c>
      <c r="D38" s="5">
        <f t="shared" si="8"/>
        <v>37443118</v>
      </c>
      <c r="E38" s="5">
        <f t="shared" si="8"/>
        <v>4252170</v>
      </c>
      <c r="F38" s="5">
        <f t="shared" si="9"/>
        <v>0</v>
      </c>
      <c r="G38" s="5">
        <f t="shared" si="10"/>
        <v>1061019</v>
      </c>
      <c r="H38" s="9">
        <f t="shared" si="10"/>
        <v>42756307</v>
      </c>
      <c r="I38" s="9">
        <v>26065398</v>
      </c>
      <c r="J38" s="162">
        <f t="shared" si="11"/>
        <v>0.6403473678015582</v>
      </c>
    </row>
    <row r="39" spans="2:10" ht="19.5" customHeight="1">
      <c r="B39" s="16">
        <v>6</v>
      </c>
      <c r="C39" s="64" t="s">
        <v>71</v>
      </c>
      <c r="D39" s="5">
        <f t="shared" si="8"/>
        <v>1025887.5599999999</v>
      </c>
      <c r="E39" s="5">
        <f t="shared" si="8"/>
        <v>610521.348</v>
      </c>
      <c r="F39" s="5">
        <f t="shared" si="9"/>
        <v>0</v>
      </c>
      <c r="G39" s="5">
        <f t="shared" si="10"/>
        <v>0</v>
      </c>
      <c r="H39" s="9">
        <f t="shared" si="10"/>
        <v>1636408.9079999998</v>
      </c>
      <c r="I39" s="9">
        <v>1913012</v>
      </c>
      <c r="J39" s="162">
        <f t="shared" si="11"/>
        <v>-0.14459035907772674</v>
      </c>
    </row>
    <row r="40" spans="2:10" ht="19.5" customHeight="1">
      <c r="B40" s="16">
        <v>7</v>
      </c>
      <c r="C40" s="64" t="s">
        <v>73</v>
      </c>
      <c r="D40" s="5">
        <f t="shared" si="8"/>
        <v>25729860</v>
      </c>
      <c r="E40" s="5">
        <f t="shared" si="8"/>
        <v>4348432</v>
      </c>
      <c r="F40" s="5">
        <f t="shared" si="9"/>
        <v>2043146</v>
      </c>
      <c r="G40" s="5">
        <f t="shared" si="10"/>
        <v>0</v>
      </c>
      <c r="H40" s="9">
        <f t="shared" si="10"/>
        <v>32121438</v>
      </c>
      <c r="I40" s="9">
        <v>16858863</v>
      </c>
      <c r="J40" s="162">
        <f t="shared" si="11"/>
        <v>0.9053146110743056</v>
      </c>
    </row>
    <row r="41" spans="2:10" ht="19.5" customHeight="1">
      <c r="B41" s="63">
        <v>8</v>
      </c>
      <c r="C41" s="64" t="s">
        <v>72</v>
      </c>
      <c r="D41" s="64">
        <f t="shared" si="8"/>
        <v>6366566</v>
      </c>
      <c r="E41" s="64">
        <f t="shared" si="8"/>
        <v>0</v>
      </c>
      <c r="F41" s="64">
        <f t="shared" si="9"/>
        <v>0</v>
      </c>
      <c r="G41" s="64">
        <f t="shared" si="10"/>
        <v>0</v>
      </c>
      <c r="H41" s="9">
        <f t="shared" si="10"/>
        <v>6366566</v>
      </c>
      <c r="I41" s="9">
        <v>6515823</v>
      </c>
      <c r="J41" s="162">
        <f t="shared" si="11"/>
        <v>-0.022906853056014566</v>
      </c>
    </row>
    <row r="42" spans="2:10" ht="19.5" customHeight="1">
      <c r="B42" s="63">
        <v>9</v>
      </c>
      <c r="C42" s="64" t="s">
        <v>82</v>
      </c>
      <c r="D42" s="64">
        <f>D13-D27</f>
        <v>10076715</v>
      </c>
      <c r="E42" s="64">
        <f>E13-E27</f>
        <v>0</v>
      </c>
      <c r="F42" s="64">
        <f t="shared" si="9"/>
        <v>0</v>
      </c>
      <c r="G42" s="64">
        <f>G13-G27</f>
        <v>0</v>
      </c>
      <c r="H42" s="64">
        <f>H13-H27</f>
        <v>10076715</v>
      </c>
      <c r="I42" s="9">
        <v>5178404</v>
      </c>
      <c r="J42" s="257">
        <v>0</v>
      </c>
    </row>
    <row r="43" spans="2:10" ht="19.5" customHeight="1">
      <c r="B43" s="17"/>
      <c r="C43" s="11" t="s">
        <v>10</v>
      </c>
      <c r="D43" s="11">
        <f>D14-D28</f>
        <v>178728235.71</v>
      </c>
      <c r="E43" s="11">
        <f>E14-E28</f>
        <v>31465941.347999997</v>
      </c>
      <c r="F43" s="11">
        <f>F14-F28</f>
        <v>12383105</v>
      </c>
      <c r="G43" s="11">
        <f>G14-G28</f>
        <v>13453332</v>
      </c>
      <c r="H43" s="11">
        <f>H14-H28</f>
        <v>236030614.05800003</v>
      </c>
      <c r="I43" s="9">
        <f>I14-I28</f>
        <v>182656060.35</v>
      </c>
      <c r="J43" s="162">
        <f>(H43-I43)/I43</f>
        <v>0.2922134289205917</v>
      </c>
    </row>
    <row r="45" ht="19.5" customHeight="1">
      <c r="D45" s="4" t="s">
        <v>163</v>
      </c>
    </row>
    <row r="47" spans="2:9" ht="19.5" customHeight="1">
      <c r="B47" s="64" t="s">
        <v>85</v>
      </c>
      <c r="C47" s="19" t="s">
        <v>0</v>
      </c>
      <c r="D47" s="19" t="s">
        <v>20</v>
      </c>
      <c r="E47" s="19" t="s">
        <v>21</v>
      </c>
      <c r="F47" s="19" t="s">
        <v>66</v>
      </c>
      <c r="G47" s="19" t="s">
        <v>22</v>
      </c>
      <c r="H47" s="292" t="s">
        <v>127</v>
      </c>
      <c r="I47" s="293" t="s">
        <v>122</v>
      </c>
    </row>
    <row r="48" spans="2:9" ht="19.5" customHeight="1">
      <c r="B48" s="16">
        <v>1</v>
      </c>
      <c r="C48" s="64" t="s">
        <v>75</v>
      </c>
      <c r="D48" s="25">
        <f aca="true" t="shared" si="12" ref="D48:I57">_xlfn.IFERROR(((D19/D5))*100," ")</f>
        <v>0</v>
      </c>
      <c r="E48" s="25">
        <f t="shared" si="12"/>
        <v>10.783901536977918</v>
      </c>
      <c r="F48" s="25">
        <f t="shared" si="12"/>
        <v>50.38820900580407</v>
      </c>
      <c r="G48" s="25" t="str">
        <f t="shared" si="12"/>
        <v> </v>
      </c>
      <c r="H48" s="69">
        <f t="shared" si="12"/>
        <v>30.53408883824661</v>
      </c>
      <c r="I48" s="69">
        <f t="shared" si="12"/>
        <v>40.363961954588945</v>
      </c>
    </row>
    <row r="49" spans="2:9" ht="19.5" customHeight="1">
      <c r="B49" s="16">
        <v>2</v>
      </c>
      <c r="C49" s="64" t="s">
        <v>2</v>
      </c>
      <c r="D49" s="25">
        <f t="shared" si="12"/>
        <v>4.849836152321842</v>
      </c>
      <c r="E49" s="25" t="str">
        <f t="shared" si="12"/>
        <v> </v>
      </c>
      <c r="F49" s="25" t="str">
        <f t="shared" si="12"/>
        <v> </v>
      </c>
      <c r="G49" s="25" t="str">
        <f t="shared" si="12"/>
        <v> </v>
      </c>
      <c r="H49" s="69">
        <f t="shared" si="12"/>
        <v>4.849836152321842</v>
      </c>
      <c r="I49" s="69">
        <f t="shared" si="12"/>
        <v>4.689543151345987</v>
      </c>
    </row>
    <row r="50" spans="2:9" ht="19.5" customHeight="1">
      <c r="B50" s="16">
        <v>3</v>
      </c>
      <c r="C50" s="64" t="s">
        <v>7</v>
      </c>
      <c r="D50" s="25">
        <f t="shared" si="12"/>
        <v>1.4868798845467284</v>
      </c>
      <c r="E50" s="25">
        <f t="shared" si="12"/>
        <v>42.36279560210919</v>
      </c>
      <c r="F50" s="25" t="str">
        <f t="shared" si="12"/>
        <v> </v>
      </c>
      <c r="G50" s="25">
        <f t="shared" si="12"/>
        <v>0</v>
      </c>
      <c r="H50" s="69">
        <f t="shared" si="12"/>
        <v>8.314387521259903</v>
      </c>
      <c r="I50" s="69">
        <f t="shared" si="12"/>
        <v>7.679599053170906</v>
      </c>
    </row>
    <row r="51" spans="2:9" ht="19.5" customHeight="1">
      <c r="B51" s="16">
        <v>4</v>
      </c>
      <c r="C51" s="64" t="s">
        <v>52</v>
      </c>
      <c r="D51" s="25">
        <f t="shared" si="12"/>
        <v>18.14774072017331</v>
      </c>
      <c r="E51" s="25" t="str">
        <f t="shared" si="12"/>
        <v> </v>
      </c>
      <c r="F51" s="25" t="str">
        <f t="shared" si="12"/>
        <v> </v>
      </c>
      <c r="G51" s="25" t="str">
        <f t="shared" si="12"/>
        <v> </v>
      </c>
      <c r="H51" s="69">
        <f t="shared" si="12"/>
        <v>18.14774072017331</v>
      </c>
      <c r="I51" s="69">
        <f t="shared" si="12"/>
        <v>19.238611232255483</v>
      </c>
    </row>
    <row r="52" spans="2:9" ht="19.5" customHeight="1">
      <c r="B52" s="16">
        <v>5</v>
      </c>
      <c r="C52" s="64" t="s">
        <v>1</v>
      </c>
      <c r="D52" s="25">
        <f t="shared" si="12"/>
        <v>0.15554332313932723</v>
      </c>
      <c r="E52" s="25">
        <f t="shared" si="12"/>
        <v>34.9427673769076</v>
      </c>
      <c r="F52" s="25" t="str">
        <f t="shared" si="12"/>
        <v> </v>
      </c>
      <c r="G52" s="25">
        <f t="shared" si="12"/>
        <v>0</v>
      </c>
      <c r="H52" s="69">
        <f t="shared" si="12"/>
        <v>5.193532655943668</v>
      </c>
      <c r="I52" s="69">
        <f t="shared" si="12"/>
        <v>5.798454778527653</v>
      </c>
    </row>
    <row r="53" spans="2:9" ht="19.5" customHeight="1">
      <c r="B53" s="16">
        <v>6</v>
      </c>
      <c r="C53" s="64" t="s">
        <v>71</v>
      </c>
      <c r="D53" s="25">
        <f t="shared" si="12"/>
        <v>0.19038542706462078</v>
      </c>
      <c r="E53" s="25">
        <f t="shared" si="12"/>
        <v>24.0242127773408</v>
      </c>
      <c r="F53" s="25" t="str">
        <f t="shared" si="12"/>
        <v> </v>
      </c>
      <c r="G53" s="25" t="str">
        <f t="shared" si="12"/>
        <v> </v>
      </c>
      <c r="H53" s="69">
        <f>_xlfn.IFERROR(((H24/H10))*100," ")</f>
        <v>10.647983753926185</v>
      </c>
      <c r="I53" s="69">
        <f t="shared" si="12"/>
        <v>6.347293194286291</v>
      </c>
    </row>
    <row r="54" spans="2:9" ht="19.5" customHeight="1">
      <c r="B54" s="16">
        <v>7</v>
      </c>
      <c r="C54" s="64" t="s">
        <v>73</v>
      </c>
      <c r="D54" s="25">
        <f t="shared" si="12"/>
        <v>3.728388205769137</v>
      </c>
      <c r="E54" s="25">
        <f t="shared" si="12"/>
        <v>18.150151316827206</v>
      </c>
      <c r="F54" s="25">
        <f t="shared" si="12"/>
        <v>50.00001223602909</v>
      </c>
      <c r="G54" s="25" t="str">
        <f t="shared" si="12"/>
        <v> </v>
      </c>
      <c r="H54" s="69">
        <f t="shared" si="12"/>
        <v>11.083282667098644</v>
      </c>
      <c r="I54" s="69">
        <f t="shared" si="12"/>
        <v>16.71561230627108</v>
      </c>
    </row>
    <row r="55" spans="2:9" ht="19.5" customHeight="1">
      <c r="B55" s="16">
        <v>8</v>
      </c>
      <c r="C55" s="64" t="s">
        <v>72</v>
      </c>
      <c r="D55" s="25">
        <f t="shared" si="12"/>
        <v>15.111536537927945</v>
      </c>
      <c r="E55" s="25" t="str">
        <f t="shared" si="12"/>
        <v> </v>
      </c>
      <c r="F55" s="25" t="str">
        <f t="shared" si="12"/>
        <v> </v>
      </c>
      <c r="G55" s="25" t="str">
        <f t="shared" si="12"/>
        <v> </v>
      </c>
      <c r="H55" s="69">
        <f t="shared" si="12"/>
        <v>15.111536537927945</v>
      </c>
      <c r="I55" s="69">
        <f t="shared" si="12"/>
        <v>34.24460581214356</v>
      </c>
    </row>
    <row r="56" spans="2:9" ht="19.5" customHeight="1">
      <c r="B56" s="63">
        <v>9</v>
      </c>
      <c r="C56" s="64" t="s">
        <v>82</v>
      </c>
      <c r="D56" s="25">
        <f t="shared" si="12"/>
        <v>0</v>
      </c>
      <c r="E56" s="25" t="str">
        <f t="shared" si="12"/>
        <v> </v>
      </c>
      <c r="F56" s="25" t="str">
        <f t="shared" si="12"/>
        <v> </v>
      </c>
      <c r="G56" s="25" t="str">
        <f t="shared" si="12"/>
        <v> </v>
      </c>
      <c r="H56" s="69">
        <f t="shared" si="12"/>
        <v>0</v>
      </c>
      <c r="I56" s="69">
        <f t="shared" si="12"/>
        <v>0</v>
      </c>
    </row>
    <row r="57" spans="2:9" ht="19.5" customHeight="1">
      <c r="B57" s="17"/>
      <c r="C57" s="11" t="s">
        <v>10</v>
      </c>
      <c r="D57" s="69">
        <f t="shared" si="12"/>
        <v>6.302743042684273</v>
      </c>
      <c r="E57" s="69">
        <f t="shared" si="12"/>
        <v>21.53393172973062</v>
      </c>
      <c r="F57" s="69">
        <f t="shared" si="12"/>
        <v>50.32457438473878</v>
      </c>
      <c r="G57" s="69">
        <f t="shared" si="12"/>
        <v>0</v>
      </c>
      <c r="H57" s="69">
        <f t="shared" si="12"/>
        <v>12.332363665061614</v>
      </c>
      <c r="I57" s="69">
        <f t="shared" si="12"/>
        <v>15.873207249846446</v>
      </c>
    </row>
    <row r="59" ht="19.5" customHeight="1">
      <c r="D59" s="4" t="s">
        <v>164</v>
      </c>
    </row>
    <row r="60" ht="19.5" customHeight="1" thickBot="1"/>
    <row r="61" spans="2:9" ht="19.5" customHeight="1" thickBot="1">
      <c r="B61" s="163" t="s">
        <v>85</v>
      </c>
      <c r="C61" s="164" t="s">
        <v>0</v>
      </c>
      <c r="D61" s="164" t="s">
        <v>20</v>
      </c>
      <c r="E61" s="164" t="s">
        <v>21</v>
      </c>
      <c r="F61" s="164" t="s">
        <v>66</v>
      </c>
      <c r="G61" s="164" t="s">
        <v>22</v>
      </c>
      <c r="H61" s="292" t="s">
        <v>127</v>
      </c>
      <c r="I61" s="293" t="s">
        <v>122</v>
      </c>
    </row>
    <row r="62" spans="2:9" ht="19.5" customHeight="1">
      <c r="B62" s="147">
        <v>1</v>
      </c>
      <c r="C62" s="148" t="s">
        <v>75</v>
      </c>
      <c r="D62" s="149">
        <f aca="true" t="shared" si="13" ref="D62:I71">_xlfn.IFERROR(((D34/D5))*100," ")</f>
        <v>100</v>
      </c>
      <c r="E62" s="149">
        <f t="shared" si="13"/>
        <v>89.21609846302209</v>
      </c>
      <c r="F62" s="149">
        <f t="shared" si="13"/>
        <v>49.61179099419593</v>
      </c>
      <c r="G62" s="149" t="str">
        <f t="shared" si="13"/>
        <v> </v>
      </c>
      <c r="H62" s="143">
        <f t="shared" si="13"/>
        <v>69.4659111617534</v>
      </c>
      <c r="I62" s="150">
        <f t="shared" si="13"/>
        <v>59.636038045411055</v>
      </c>
    </row>
    <row r="63" spans="2:9" ht="19.5" customHeight="1">
      <c r="B63" s="63">
        <v>2</v>
      </c>
      <c r="C63" s="64" t="s">
        <v>2</v>
      </c>
      <c r="D63" s="12">
        <f t="shared" si="13"/>
        <v>95.15016384767816</v>
      </c>
      <c r="E63" s="12" t="str">
        <f t="shared" si="13"/>
        <v> </v>
      </c>
      <c r="F63" s="12" t="str">
        <f t="shared" si="13"/>
        <v> </v>
      </c>
      <c r="G63" s="12" t="str">
        <f t="shared" si="13"/>
        <v> </v>
      </c>
      <c r="H63" s="13">
        <f t="shared" si="13"/>
        <v>95.15016384767816</v>
      </c>
      <c r="I63" s="144">
        <f t="shared" si="13"/>
        <v>95.31045684865401</v>
      </c>
    </row>
    <row r="64" spans="2:9" ht="19.5" customHeight="1">
      <c r="B64" s="63">
        <v>3</v>
      </c>
      <c r="C64" s="64" t="s">
        <v>7</v>
      </c>
      <c r="D64" s="12">
        <f t="shared" si="13"/>
        <v>98.51312011545326</v>
      </c>
      <c r="E64" s="12">
        <f t="shared" si="13"/>
        <v>57.637204397890805</v>
      </c>
      <c r="F64" s="12" t="str">
        <f t="shared" si="13"/>
        <v> </v>
      </c>
      <c r="G64" s="12">
        <f t="shared" si="13"/>
        <v>100</v>
      </c>
      <c r="H64" s="13">
        <f t="shared" si="13"/>
        <v>91.6856124787401</v>
      </c>
      <c r="I64" s="144">
        <f t="shared" si="13"/>
        <v>92.3204009468291</v>
      </c>
    </row>
    <row r="65" spans="2:9" ht="19.5" customHeight="1">
      <c r="B65" s="63">
        <v>4</v>
      </c>
      <c r="C65" s="64" t="s">
        <v>52</v>
      </c>
      <c r="D65" s="12">
        <f t="shared" si="13"/>
        <v>81.85225927982668</v>
      </c>
      <c r="E65" s="12" t="str">
        <f t="shared" si="13"/>
        <v> </v>
      </c>
      <c r="F65" s="12" t="str">
        <f t="shared" si="13"/>
        <v> </v>
      </c>
      <c r="G65" s="12" t="str">
        <f t="shared" si="13"/>
        <v> </v>
      </c>
      <c r="H65" s="13">
        <f t="shared" si="13"/>
        <v>81.85225927982668</v>
      </c>
      <c r="I65" s="144">
        <f t="shared" si="13"/>
        <v>80.7613887677445</v>
      </c>
    </row>
    <row r="66" spans="2:9" ht="19.5" customHeight="1">
      <c r="B66" s="63">
        <v>5</v>
      </c>
      <c r="C66" s="64" t="s">
        <v>1</v>
      </c>
      <c r="D66" s="12">
        <f t="shared" si="13"/>
        <v>99.84445667686067</v>
      </c>
      <c r="E66" s="12">
        <f t="shared" si="13"/>
        <v>65.0572326230924</v>
      </c>
      <c r="F66" s="12" t="str">
        <f t="shared" si="13"/>
        <v> </v>
      </c>
      <c r="G66" s="12">
        <f t="shared" si="13"/>
        <v>100</v>
      </c>
      <c r="H66" s="13">
        <f t="shared" si="13"/>
        <v>94.80646734405633</v>
      </c>
      <c r="I66" s="144">
        <f t="shared" si="13"/>
        <v>94.20154522147234</v>
      </c>
    </row>
    <row r="67" spans="2:9" ht="19.5" customHeight="1">
      <c r="B67" s="63">
        <v>6</v>
      </c>
      <c r="C67" s="64" t="s">
        <v>71</v>
      </c>
      <c r="D67" s="12">
        <f t="shared" si="13"/>
        <v>99.80961457293537</v>
      </c>
      <c r="E67" s="12">
        <f t="shared" si="13"/>
        <v>75.97578722265919</v>
      </c>
      <c r="F67" s="12" t="str">
        <f t="shared" si="13"/>
        <v> </v>
      </c>
      <c r="G67" s="12" t="str">
        <f t="shared" si="13"/>
        <v> </v>
      </c>
      <c r="H67" s="13">
        <f t="shared" si="13"/>
        <v>89.35201624607382</v>
      </c>
      <c r="I67" s="144">
        <f t="shared" si="13"/>
        <v>93.65270680571372</v>
      </c>
    </row>
    <row r="68" spans="2:9" ht="19.5" customHeight="1">
      <c r="B68" s="63">
        <v>7</v>
      </c>
      <c r="C68" s="64" t="s">
        <v>73</v>
      </c>
      <c r="D68" s="12">
        <f t="shared" si="13"/>
        <v>96.27161179423086</v>
      </c>
      <c r="E68" s="12">
        <f t="shared" si="13"/>
        <v>81.8498486831728</v>
      </c>
      <c r="F68" s="12">
        <f t="shared" si="13"/>
        <v>49.999987763970914</v>
      </c>
      <c r="G68" s="12" t="str">
        <f t="shared" si="13"/>
        <v> </v>
      </c>
      <c r="H68" s="13">
        <f t="shared" si="13"/>
        <v>88.91671733290136</v>
      </c>
      <c r="I68" s="144">
        <f t="shared" si="13"/>
        <v>83.28438769372892</v>
      </c>
    </row>
    <row r="69" spans="2:9" ht="19.5" customHeight="1">
      <c r="B69" s="63">
        <v>8</v>
      </c>
      <c r="C69" s="64" t="s">
        <v>72</v>
      </c>
      <c r="D69" s="12">
        <f t="shared" si="13"/>
        <v>84.88846346207207</v>
      </c>
      <c r="E69" s="12" t="str">
        <f t="shared" si="13"/>
        <v> </v>
      </c>
      <c r="F69" s="12" t="str">
        <f t="shared" si="13"/>
        <v> </v>
      </c>
      <c r="G69" s="12" t="str">
        <f t="shared" si="13"/>
        <v> </v>
      </c>
      <c r="H69" s="13">
        <f t="shared" si="13"/>
        <v>84.88846346207207</v>
      </c>
      <c r="I69" s="144">
        <f t="shared" si="13"/>
        <v>65.75539418785644</v>
      </c>
    </row>
    <row r="70" spans="2:9" ht="19.5" customHeight="1" thickBot="1">
      <c r="B70" s="151">
        <v>9</v>
      </c>
      <c r="C70" s="152" t="s">
        <v>82</v>
      </c>
      <c r="D70" s="153">
        <f t="shared" si="13"/>
        <v>100</v>
      </c>
      <c r="E70" s="153" t="str">
        <f t="shared" si="13"/>
        <v> </v>
      </c>
      <c r="F70" s="153" t="str">
        <f t="shared" si="13"/>
        <v> </v>
      </c>
      <c r="G70" s="153" t="str">
        <f t="shared" si="13"/>
        <v> </v>
      </c>
      <c r="H70" s="154">
        <f t="shared" si="13"/>
        <v>100</v>
      </c>
      <c r="I70" s="155">
        <f t="shared" si="13"/>
        <v>100</v>
      </c>
    </row>
    <row r="71" spans="2:9" ht="19.5" customHeight="1">
      <c r="B71" s="141"/>
      <c r="C71" s="142" t="s">
        <v>10</v>
      </c>
      <c r="D71" s="145">
        <f t="shared" si="13"/>
        <v>93.69725695731573</v>
      </c>
      <c r="E71" s="145">
        <f t="shared" si="13"/>
        <v>78.46606827026937</v>
      </c>
      <c r="F71" s="145">
        <f t="shared" si="13"/>
        <v>49.67542561526122</v>
      </c>
      <c r="G71" s="145">
        <f t="shared" si="13"/>
        <v>100</v>
      </c>
      <c r="H71" s="145">
        <f t="shared" si="13"/>
        <v>87.6676363349384</v>
      </c>
      <c r="I71" s="146">
        <f t="shared" si="13"/>
        <v>84.12679275015356</v>
      </c>
    </row>
    <row r="73" ht="19.5" customHeight="1">
      <c r="D73" s="4" t="s">
        <v>165</v>
      </c>
    </row>
    <row r="74" ht="19.5" customHeight="1">
      <c r="G74" s="8" t="s">
        <v>35</v>
      </c>
    </row>
    <row r="75" spans="2:10" ht="19.5" customHeight="1">
      <c r="B75" s="64" t="s">
        <v>85</v>
      </c>
      <c r="C75" s="19" t="s">
        <v>0</v>
      </c>
      <c r="D75" s="19" t="s">
        <v>20</v>
      </c>
      <c r="E75" s="19" t="s">
        <v>21</v>
      </c>
      <c r="F75" s="19" t="s">
        <v>66</v>
      </c>
      <c r="G75" s="19" t="s">
        <v>22</v>
      </c>
      <c r="H75" s="292" t="s">
        <v>127</v>
      </c>
      <c r="I75" s="293" t="s">
        <v>122</v>
      </c>
      <c r="J75" s="70" t="s">
        <v>158</v>
      </c>
    </row>
    <row r="76" spans="2:10" ht="19.5" customHeight="1">
      <c r="B76" s="16">
        <v>1</v>
      </c>
      <c r="C76" s="64" t="s">
        <v>75</v>
      </c>
      <c r="D76" s="7">
        <v>153217</v>
      </c>
      <c r="E76" s="5">
        <v>3792144</v>
      </c>
      <c r="F76" s="10">
        <v>1732786</v>
      </c>
      <c r="G76" s="7">
        <v>0</v>
      </c>
      <c r="H76" s="9">
        <f aca="true" t="shared" si="14" ref="H76:H84">SUM(D76:G76)</f>
        <v>5678147</v>
      </c>
      <c r="I76" s="156">
        <v>5153060</v>
      </c>
      <c r="J76" s="162">
        <f aca="true" t="shared" si="15" ref="J76:J82">(H76-I76)/I76</f>
        <v>0.10189809550053755</v>
      </c>
    </row>
    <row r="77" spans="2:10" ht="19.5" customHeight="1">
      <c r="B77" s="63">
        <v>2</v>
      </c>
      <c r="C77" s="64" t="s">
        <v>2</v>
      </c>
      <c r="D77" s="7">
        <v>13758959</v>
      </c>
      <c r="E77" s="5"/>
      <c r="F77" s="10"/>
      <c r="G77" s="7"/>
      <c r="H77" s="9">
        <f t="shared" si="14"/>
        <v>13758959</v>
      </c>
      <c r="I77" s="156">
        <v>13775687</v>
      </c>
      <c r="J77" s="162">
        <f t="shared" si="15"/>
        <v>-0.0012143133043019923</v>
      </c>
    </row>
    <row r="78" spans="2:10" ht="19.5" customHeight="1">
      <c r="B78" s="16">
        <v>3</v>
      </c>
      <c r="C78" s="64" t="s">
        <v>7</v>
      </c>
      <c r="D78" s="5">
        <f>5357278-157118+214961+14395</f>
        <v>5429516</v>
      </c>
      <c r="E78" s="5">
        <f>1141075-910410+1192961</f>
        <v>1423626</v>
      </c>
      <c r="F78" s="10"/>
      <c r="G78" s="5">
        <v>7669620</v>
      </c>
      <c r="H78" s="9">
        <f t="shared" si="14"/>
        <v>14522762</v>
      </c>
      <c r="I78" s="156">
        <v>12660788</v>
      </c>
      <c r="J78" s="162">
        <f t="shared" si="15"/>
        <v>0.14706620156660075</v>
      </c>
    </row>
    <row r="79" spans="2:10" ht="19.5" customHeight="1">
      <c r="B79" s="63">
        <v>4</v>
      </c>
      <c r="C79" s="64" t="s">
        <v>52</v>
      </c>
      <c r="D79" s="26">
        <v>9124786</v>
      </c>
      <c r="E79" s="10"/>
      <c r="F79" s="10"/>
      <c r="G79" s="26"/>
      <c r="H79" s="9">
        <f t="shared" si="14"/>
        <v>9124786</v>
      </c>
      <c r="I79" s="256">
        <v>8815722.219999999</v>
      </c>
      <c r="J79" s="162">
        <f t="shared" si="15"/>
        <v>0.0350582484664542</v>
      </c>
    </row>
    <row r="80" spans="2:10" ht="19.5" customHeight="1">
      <c r="B80" s="16">
        <v>5</v>
      </c>
      <c r="C80" s="64" t="s">
        <v>1</v>
      </c>
      <c r="D80" s="5">
        <v>7098138</v>
      </c>
      <c r="E80" s="5">
        <v>1692773</v>
      </c>
      <c r="F80" s="10">
        <v>0</v>
      </c>
      <c r="G80" s="5">
        <v>514884</v>
      </c>
      <c r="H80" s="9">
        <f t="shared" si="14"/>
        <v>9305795</v>
      </c>
      <c r="I80" s="156">
        <v>4421284</v>
      </c>
      <c r="J80" s="162">
        <f t="shared" si="15"/>
        <v>1.1047720526435307</v>
      </c>
    </row>
    <row r="81" spans="2:10" ht="19.5" customHeight="1">
      <c r="B81" s="63">
        <v>6</v>
      </c>
      <c r="C81" s="64" t="s">
        <v>71</v>
      </c>
      <c r="D81" s="64">
        <v>552377.803</v>
      </c>
      <c r="E81" s="64">
        <v>164906.802</v>
      </c>
      <c r="F81" s="127"/>
      <c r="G81" s="64"/>
      <c r="H81" s="9">
        <f t="shared" si="14"/>
        <v>717284.605</v>
      </c>
      <c r="I81" s="156">
        <v>1470141</v>
      </c>
      <c r="J81" s="162">
        <f t="shared" si="15"/>
        <v>-0.5120980878704832</v>
      </c>
    </row>
    <row r="82" spans="2:10" ht="19.5" customHeight="1">
      <c r="B82" s="16">
        <v>7</v>
      </c>
      <c r="C82" s="64" t="s">
        <v>73</v>
      </c>
      <c r="D82" s="127">
        <v>1105872</v>
      </c>
      <c r="E82" s="127">
        <v>423113</v>
      </c>
      <c r="F82" s="127">
        <v>939648</v>
      </c>
      <c r="G82" s="128"/>
      <c r="H82" s="9">
        <f t="shared" si="14"/>
        <v>2468633</v>
      </c>
      <c r="I82" s="256">
        <v>6549830</v>
      </c>
      <c r="J82" s="162">
        <f t="shared" si="15"/>
        <v>-0.623099683503236</v>
      </c>
    </row>
    <row r="83" spans="2:10" s="23" customFormat="1" ht="19.5" customHeight="1">
      <c r="B83" s="63">
        <v>8</v>
      </c>
      <c r="C83" s="64" t="s">
        <v>72</v>
      </c>
      <c r="D83" s="26">
        <v>3385429</v>
      </c>
      <c r="E83" s="10"/>
      <c r="F83" s="10"/>
      <c r="G83" s="26"/>
      <c r="H83" s="9">
        <f t="shared" si="14"/>
        <v>3385429</v>
      </c>
      <c r="I83" s="256">
        <v>3148918</v>
      </c>
      <c r="J83" s="162">
        <f>(H83-I83)/I83</f>
        <v>0.07510865637021986</v>
      </c>
    </row>
    <row r="84" spans="2:10" s="23" customFormat="1" ht="19.5" customHeight="1">
      <c r="B84" s="63">
        <v>9</v>
      </c>
      <c r="C84" s="64" t="s">
        <v>82</v>
      </c>
      <c r="D84" s="10">
        <v>799644</v>
      </c>
      <c r="E84" s="10"/>
      <c r="F84" s="10"/>
      <c r="G84" s="10"/>
      <c r="H84" s="9">
        <f t="shared" si="14"/>
        <v>799644</v>
      </c>
      <c r="I84" s="256">
        <v>1392074</v>
      </c>
      <c r="J84" s="257">
        <v>0</v>
      </c>
    </row>
    <row r="85" spans="2:10" s="23" customFormat="1" ht="19.5" customHeight="1">
      <c r="B85" s="17"/>
      <c r="C85" s="11" t="s">
        <v>10</v>
      </c>
      <c r="D85" s="11">
        <f aca="true" t="shared" si="16" ref="D85:I85">SUM(D76:D84)</f>
        <v>41407938.803</v>
      </c>
      <c r="E85" s="11">
        <f t="shared" si="16"/>
        <v>7496562.802</v>
      </c>
      <c r="F85" s="11">
        <f t="shared" si="16"/>
        <v>2672434</v>
      </c>
      <c r="G85" s="11">
        <f t="shared" si="16"/>
        <v>8184504</v>
      </c>
      <c r="H85" s="11">
        <f t="shared" si="16"/>
        <v>59761439.605</v>
      </c>
      <c r="I85" s="11">
        <f t="shared" si="16"/>
        <v>57387504.22</v>
      </c>
      <c r="J85" s="162">
        <f>(H85-I85)/I85</f>
        <v>0.04136676472110217</v>
      </c>
    </row>
    <row r="87" ht="19.5" customHeight="1">
      <c r="D87" s="4" t="s">
        <v>166</v>
      </c>
    </row>
    <row r="88" ht="19.5" customHeight="1">
      <c r="G88" s="8" t="s">
        <v>35</v>
      </c>
    </row>
    <row r="89" spans="2:10" ht="19.5" customHeight="1">
      <c r="B89" s="64" t="s">
        <v>85</v>
      </c>
      <c r="C89" s="19" t="s">
        <v>0</v>
      </c>
      <c r="D89" s="19" t="s">
        <v>20</v>
      </c>
      <c r="E89" s="19" t="s">
        <v>21</v>
      </c>
      <c r="F89" s="19" t="s">
        <v>66</v>
      </c>
      <c r="G89" s="19" t="s">
        <v>22</v>
      </c>
      <c r="H89" s="292" t="s">
        <v>127</v>
      </c>
      <c r="I89" s="293" t="s">
        <v>122</v>
      </c>
      <c r="J89" s="70" t="s">
        <v>158</v>
      </c>
    </row>
    <row r="90" spans="2:12" ht="19.5" customHeight="1">
      <c r="B90" s="16">
        <v>1</v>
      </c>
      <c r="C90" s="64" t="s">
        <v>75</v>
      </c>
      <c r="D90" s="5">
        <f>D34</f>
        <v>373312</v>
      </c>
      <c r="E90" s="322">
        <f>E34</f>
        <v>18177127</v>
      </c>
      <c r="F90" s="322">
        <f>F34</f>
        <v>10339959</v>
      </c>
      <c r="G90" s="322">
        <f>G34</f>
        <v>0</v>
      </c>
      <c r="H90" s="9">
        <f aca="true" t="shared" si="17" ref="H90:H97">SUM(D90:G90)</f>
        <v>28890398</v>
      </c>
      <c r="I90" s="156">
        <v>21236188</v>
      </c>
      <c r="J90" s="157">
        <f aca="true" t="shared" si="18" ref="J90:J97">(H90-I90)/I90</f>
        <v>0.36043239021993967</v>
      </c>
      <c r="L90" s="27"/>
    </row>
    <row r="91" spans="2:12" ht="19.5" customHeight="1">
      <c r="B91" s="63">
        <v>2</v>
      </c>
      <c r="C91" s="64" t="s">
        <v>2</v>
      </c>
      <c r="D91" s="5">
        <f aca="true" t="shared" si="19" ref="D91:E98">D35</f>
        <v>45226440</v>
      </c>
      <c r="E91" s="5">
        <f t="shared" si="19"/>
        <v>0</v>
      </c>
      <c r="F91" s="5">
        <f aca="true" t="shared" si="20" ref="F91:F97">F35</f>
        <v>0</v>
      </c>
      <c r="G91" s="5">
        <f aca="true" t="shared" si="21" ref="G91:G97">G35</f>
        <v>0</v>
      </c>
      <c r="H91" s="9">
        <f t="shared" si="17"/>
        <v>45226440</v>
      </c>
      <c r="I91" s="156">
        <v>45646531</v>
      </c>
      <c r="J91" s="157">
        <f t="shared" si="18"/>
        <v>-0.009203130901666986</v>
      </c>
      <c r="L91" s="27"/>
    </row>
    <row r="92" spans="2:12" ht="19.5" customHeight="1">
      <c r="B92" s="16">
        <v>3</v>
      </c>
      <c r="C92" s="64" t="s">
        <v>7</v>
      </c>
      <c r="D92" s="5">
        <f t="shared" si="19"/>
        <v>19890127</v>
      </c>
      <c r="E92" s="5">
        <f t="shared" si="19"/>
        <v>4077691</v>
      </c>
      <c r="F92" s="5">
        <f t="shared" si="20"/>
        <v>0</v>
      </c>
      <c r="G92" s="5">
        <f t="shared" si="21"/>
        <v>12392313</v>
      </c>
      <c r="H92" s="9">
        <f t="shared" si="17"/>
        <v>36360131</v>
      </c>
      <c r="I92" s="156">
        <v>30825564</v>
      </c>
      <c r="J92" s="157">
        <f t="shared" si="18"/>
        <v>0.17954471165555966</v>
      </c>
      <c r="L92" s="27"/>
    </row>
    <row r="93" spans="2:12" ht="19.5" customHeight="1">
      <c r="B93" s="63">
        <v>4</v>
      </c>
      <c r="C93" s="64" t="s">
        <v>52</v>
      </c>
      <c r="D93" s="5">
        <f t="shared" si="19"/>
        <v>32596210.15</v>
      </c>
      <c r="E93" s="5">
        <f t="shared" si="19"/>
        <v>0</v>
      </c>
      <c r="F93" s="5">
        <f t="shared" si="20"/>
        <v>0</v>
      </c>
      <c r="G93" s="5">
        <f t="shared" si="21"/>
        <v>0</v>
      </c>
      <c r="H93" s="9">
        <f t="shared" si="17"/>
        <v>32596210.15</v>
      </c>
      <c r="I93" s="156">
        <v>28416277.35</v>
      </c>
      <c r="J93" s="157">
        <f t="shared" si="18"/>
        <v>0.14709642464831857</v>
      </c>
      <c r="L93" s="27"/>
    </row>
    <row r="94" spans="2:12" ht="19.5" customHeight="1">
      <c r="B94" s="16">
        <v>5</v>
      </c>
      <c r="C94" s="64" t="s">
        <v>1</v>
      </c>
      <c r="D94" s="5">
        <f t="shared" si="19"/>
        <v>37443118</v>
      </c>
      <c r="E94" s="5">
        <f t="shared" si="19"/>
        <v>4252170</v>
      </c>
      <c r="F94" s="5">
        <f t="shared" si="20"/>
        <v>0</v>
      </c>
      <c r="G94" s="5">
        <f t="shared" si="21"/>
        <v>1061019</v>
      </c>
      <c r="H94" s="9">
        <f t="shared" si="17"/>
        <v>42756307</v>
      </c>
      <c r="I94" s="156">
        <v>26065398</v>
      </c>
      <c r="J94" s="157">
        <f t="shared" si="18"/>
        <v>0.6403473678015582</v>
      </c>
      <c r="L94" s="27"/>
    </row>
    <row r="95" spans="2:12" ht="19.5" customHeight="1">
      <c r="B95" s="63">
        <v>6</v>
      </c>
      <c r="C95" s="64" t="s">
        <v>71</v>
      </c>
      <c r="D95" s="5">
        <f t="shared" si="19"/>
        <v>1025887.5599999999</v>
      </c>
      <c r="E95" s="5">
        <f t="shared" si="19"/>
        <v>610521.348</v>
      </c>
      <c r="F95" s="5">
        <f t="shared" si="20"/>
        <v>0</v>
      </c>
      <c r="G95" s="5">
        <f t="shared" si="21"/>
        <v>0</v>
      </c>
      <c r="H95" s="9">
        <f t="shared" si="17"/>
        <v>1636408.9079999998</v>
      </c>
      <c r="I95" s="156">
        <v>1913012</v>
      </c>
      <c r="J95" s="157">
        <f t="shared" si="18"/>
        <v>-0.14459035907772674</v>
      </c>
      <c r="L95" s="27"/>
    </row>
    <row r="96" spans="2:12" ht="19.5" customHeight="1">
      <c r="B96" s="16">
        <v>7</v>
      </c>
      <c r="C96" s="64" t="s">
        <v>73</v>
      </c>
      <c r="D96" s="5">
        <f t="shared" si="19"/>
        <v>25729860</v>
      </c>
      <c r="E96" s="5">
        <f t="shared" si="19"/>
        <v>4348432</v>
      </c>
      <c r="F96" s="5">
        <f t="shared" si="20"/>
        <v>2043146</v>
      </c>
      <c r="G96" s="5">
        <f t="shared" si="21"/>
        <v>0</v>
      </c>
      <c r="H96" s="9">
        <f t="shared" si="17"/>
        <v>32121438</v>
      </c>
      <c r="I96" s="156">
        <v>16858863</v>
      </c>
      <c r="J96" s="157">
        <f t="shared" si="18"/>
        <v>0.9053146110743056</v>
      </c>
      <c r="L96" s="27"/>
    </row>
    <row r="97" spans="2:12" ht="19.5" customHeight="1">
      <c r="B97" s="63">
        <v>8</v>
      </c>
      <c r="C97" s="64" t="s">
        <v>72</v>
      </c>
      <c r="D97" s="5">
        <f t="shared" si="19"/>
        <v>6366566</v>
      </c>
      <c r="E97" s="5">
        <f t="shared" si="19"/>
        <v>0</v>
      </c>
      <c r="F97" s="5">
        <f t="shared" si="20"/>
        <v>0</v>
      </c>
      <c r="G97" s="5">
        <f t="shared" si="21"/>
        <v>0</v>
      </c>
      <c r="H97" s="9">
        <f t="shared" si="17"/>
        <v>6366566</v>
      </c>
      <c r="I97" s="156">
        <v>6515823</v>
      </c>
      <c r="J97" s="157">
        <f t="shared" si="18"/>
        <v>-0.022906853056014566</v>
      </c>
      <c r="L97" s="27"/>
    </row>
    <row r="98" spans="2:12" ht="19.5" customHeight="1">
      <c r="B98" s="63">
        <v>9</v>
      </c>
      <c r="C98" s="64" t="s">
        <v>82</v>
      </c>
      <c r="D98" s="64">
        <f t="shared" si="19"/>
        <v>10076715</v>
      </c>
      <c r="E98" s="64">
        <f t="shared" si="19"/>
        <v>0</v>
      </c>
      <c r="F98" s="64">
        <f>F42</f>
        <v>0</v>
      </c>
      <c r="G98" s="64">
        <f>G42</f>
        <v>0</v>
      </c>
      <c r="H98" s="9">
        <f>H42</f>
        <v>10076715</v>
      </c>
      <c r="I98" s="156">
        <v>5178404</v>
      </c>
      <c r="J98" s="140">
        <v>0</v>
      </c>
      <c r="L98" s="27"/>
    </row>
    <row r="99" spans="2:10" ht="19.5" customHeight="1">
      <c r="B99" s="17"/>
      <c r="C99" s="11" t="s">
        <v>10</v>
      </c>
      <c r="D99" s="11">
        <f aca="true" t="shared" si="22" ref="D99:I99">SUM(D90:D98)</f>
        <v>178728235.71</v>
      </c>
      <c r="E99" s="11">
        <f t="shared" si="22"/>
        <v>31465941.348</v>
      </c>
      <c r="F99" s="11">
        <f t="shared" si="22"/>
        <v>12383105</v>
      </c>
      <c r="G99" s="11">
        <f t="shared" si="22"/>
        <v>13453332</v>
      </c>
      <c r="H99" s="11">
        <f t="shared" si="22"/>
        <v>236030614.058</v>
      </c>
      <c r="I99" s="11">
        <f t="shared" si="22"/>
        <v>182656060.35</v>
      </c>
      <c r="J99" s="157">
        <f>(H99-I99)/I99</f>
        <v>0.29221342892059154</v>
      </c>
    </row>
    <row r="101" ht="19.5" customHeight="1">
      <c r="D101" s="4" t="s">
        <v>167</v>
      </c>
    </row>
    <row r="103" spans="2:9" ht="19.5" customHeight="1">
      <c r="B103" s="64" t="s">
        <v>85</v>
      </c>
      <c r="C103" s="64" t="s">
        <v>0</v>
      </c>
      <c r="D103" s="64" t="s">
        <v>20</v>
      </c>
      <c r="E103" s="64" t="s">
        <v>21</v>
      </c>
      <c r="F103" s="64" t="s">
        <v>66</v>
      </c>
      <c r="G103" s="64" t="s">
        <v>22</v>
      </c>
      <c r="H103" s="292" t="s">
        <v>127</v>
      </c>
      <c r="I103" s="293" t="s">
        <v>122</v>
      </c>
    </row>
    <row r="104" spans="2:9" ht="19.5" customHeight="1">
      <c r="B104" s="16">
        <v>1</v>
      </c>
      <c r="C104" s="64" t="s">
        <v>75</v>
      </c>
      <c r="D104" s="25">
        <f aca="true" t="shared" si="23" ref="D104:I113">_xlfn.IFERROR(((D76/D90))*100," ")</f>
        <v>41.04261314932282</v>
      </c>
      <c r="E104" s="25">
        <f t="shared" si="23"/>
        <v>20.862174754019158</v>
      </c>
      <c r="F104" s="25">
        <f t="shared" si="23"/>
        <v>16.758151555533246</v>
      </c>
      <c r="G104" s="25" t="str">
        <f t="shared" si="23"/>
        <v> </v>
      </c>
      <c r="H104" s="69">
        <f t="shared" si="23"/>
        <v>19.654097530951287</v>
      </c>
      <c r="I104" s="69">
        <f t="shared" si="23"/>
        <v>24.265466099659694</v>
      </c>
    </row>
    <row r="105" spans="2:9" ht="19.5" customHeight="1">
      <c r="B105" s="16">
        <v>2</v>
      </c>
      <c r="C105" s="64" t="s">
        <v>2</v>
      </c>
      <c r="D105" s="25">
        <f t="shared" si="23"/>
        <v>30.42237903314964</v>
      </c>
      <c r="E105" s="25" t="str">
        <f t="shared" si="23"/>
        <v> </v>
      </c>
      <c r="F105" s="25" t="str">
        <f t="shared" si="23"/>
        <v> </v>
      </c>
      <c r="G105" s="25" t="str">
        <f t="shared" si="23"/>
        <v> </v>
      </c>
      <c r="H105" s="69">
        <f t="shared" si="23"/>
        <v>30.42237903314964</v>
      </c>
      <c r="I105" s="69">
        <f t="shared" si="23"/>
        <v>30.17904471207242</v>
      </c>
    </row>
    <row r="106" spans="2:9" ht="19.5" customHeight="1">
      <c r="B106" s="16">
        <v>3</v>
      </c>
      <c r="C106" s="64" t="s">
        <v>7</v>
      </c>
      <c r="D106" s="25">
        <f t="shared" si="23"/>
        <v>27.29754314791454</v>
      </c>
      <c r="E106" s="25">
        <f t="shared" si="23"/>
        <v>34.91255222624765</v>
      </c>
      <c r="F106" s="25" t="str">
        <f t="shared" si="23"/>
        <v> </v>
      </c>
      <c r="G106" s="25">
        <f t="shared" si="23"/>
        <v>61.8901410898837</v>
      </c>
      <c r="H106" s="69">
        <f t="shared" si="23"/>
        <v>39.94144575551722</v>
      </c>
      <c r="I106" s="69">
        <f t="shared" si="23"/>
        <v>41.07236448293371</v>
      </c>
    </row>
    <row r="107" spans="2:9" ht="19.5" customHeight="1">
      <c r="B107" s="16">
        <v>4</v>
      </c>
      <c r="C107" s="64" t="s">
        <v>52</v>
      </c>
      <c r="D107" s="25">
        <f t="shared" si="23"/>
        <v>27.993395422381646</v>
      </c>
      <c r="E107" s="25" t="str">
        <f t="shared" si="23"/>
        <v> </v>
      </c>
      <c r="F107" s="25" t="str">
        <f t="shared" si="23"/>
        <v> </v>
      </c>
      <c r="G107" s="25" t="str">
        <f t="shared" si="23"/>
        <v> </v>
      </c>
      <c r="H107" s="69">
        <f t="shared" si="23"/>
        <v>27.993395422381646</v>
      </c>
      <c r="I107" s="69">
        <f t="shared" si="23"/>
        <v>31.023494426865874</v>
      </c>
    </row>
    <row r="108" spans="2:9" ht="19.5" customHeight="1">
      <c r="B108" s="16">
        <v>5</v>
      </c>
      <c r="C108" s="64" t="s">
        <v>1</v>
      </c>
      <c r="D108" s="25">
        <f t="shared" si="23"/>
        <v>18.957123175479136</v>
      </c>
      <c r="E108" s="25">
        <f t="shared" si="23"/>
        <v>39.80962661417582</v>
      </c>
      <c r="F108" s="25" t="str">
        <f t="shared" si="23"/>
        <v> </v>
      </c>
      <c r="G108" s="25">
        <f t="shared" si="23"/>
        <v>48.527311952000865</v>
      </c>
      <c r="H108" s="69">
        <f t="shared" si="23"/>
        <v>21.764730522680548</v>
      </c>
      <c r="I108" s="69">
        <f t="shared" si="23"/>
        <v>16.96227312546695</v>
      </c>
    </row>
    <row r="109" spans="2:9" ht="19.5" customHeight="1">
      <c r="B109" s="16">
        <v>6</v>
      </c>
      <c r="C109" s="64" t="s">
        <v>71</v>
      </c>
      <c r="D109" s="25">
        <f t="shared" si="23"/>
        <v>53.8438932820279</v>
      </c>
      <c r="E109" s="25">
        <f t="shared" si="23"/>
        <v>27.010816663531312</v>
      </c>
      <c r="F109" s="25" t="str">
        <f t="shared" si="23"/>
        <v> </v>
      </c>
      <c r="G109" s="25" t="str">
        <f t="shared" si="23"/>
        <v> </v>
      </c>
      <c r="H109" s="69">
        <f t="shared" si="23"/>
        <v>43.83284651491277</v>
      </c>
      <c r="I109" s="69">
        <f t="shared" si="23"/>
        <v>76.8495440697706</v>
      </c>
    </row>
    <row r="110" spans="2:9" ht="19.5" customHeight="1">
      <c r="B110" s="16">
        <v>7</v>
      </c>
      <c r="C110" s="64" t="s">
        <v>73</v>
      </c>
      <c r="D110" s="25">
        <f t="shared" si="23"/>
        <v>4.298010171839256</v>
      </c>
      <c r="E110" s="25">
        <f t="shared" si="23"/>
        <v>9.73024299333645</v>
      </c>
      <c r="F110" s="25">
        <f t="shared" si="23"/>
        <v>45.99025228740384</v>
      </c>
      <c r="G110" s="25" t="str">
        <f t="shared" si="23"/>
        <v> </v>
      </c>
      <c r="H110" s="69">
        <f t="shared" si="23"/>
        <v>7.685312843092516</v>
      </c>
      <c r="I110" s="69">
        <f t="shared" si="23"/>
        <v>38.85095928473943</v>
      </c>
    </row>
    <row r="111" spans="2:9" ht="19.5" customHeight="1">
      <c r="B111" s="16">
        <v>8</v>
      </c>
      <c r="C111" s="64" t="s">
        <v>72</v>
      </c>
      <c r="D111" s="25">
        <f t="shared" si="23"/>
        <v>53.17511826626787</v>
      </c>
      <c r="E111" s="25" t="str">
        <f t="shared" si="23"/>
        <v> </v>
      </c>
      <c r="F111" s="25" t="str">
        <f t="shared" si="23"/>
        <v> </v>
      </c>
      <c r="G111" s="25" t="str">
        <f t="shared" si="23"/>
        <v> </v>
      </c>
      <c r="H111" s="69">
        <f t="shared" si="23"/>
        <v>53.17511826626787</v>
      </c>
      <c r="I111" s="69">
        <f t="shared" si="23"/>
        <v>48.3272489139131</v>
      </c>
    </row>
    <row r="112" spans="2:9" ht="19.5" customHeight="1">
      <c r="B112" s="63">
        <v>9</v>
      </c>
      <c r="C112" s="64" t="s">
        <v>82</v>
      </c>
      <c r="D112" s="25">
        <f t="shared" si="23"/>
        <v>7.935562333558109</v>
      </c>
      <c r="E112" s="25" t="str">
        <f t="shared" si="23"/>
        <v> </v>
      </c>
      <c r="F112" s="25" t="str">
        <f t="shared" si="23"/>
        <v> </v>
      </c>
      <c r="G112" s="25" t="str">
        <f t="shared" si="23"/>
        <v> </v>
      </c>
      <c r="H112" s="69">
        <f t="shared" si="23"/>
        <v>7.935562333558109</v>
      </c>
      <c r="I112" s="69">
        <f t="shared" si="23"/>
        <v>26.882298098024027</v>
      </c>
    </row>
    <row r="113" spans="2:9" ht="19.5" customHeight="1">
      <c r="B113" s="17"/>
      <c r="C113" s="11" t="s">
        <v>10</v>
      </c>
      <c r="D113" s="69">
        <f t="shared" si="23"/>
        <v>23.168101357072363</v>
      </c>
      <c r="E113" s="69">
        <f t="shared" si="23"/>
        <v>23.824371624834566</v>
      </c>
      <c r="F113" s="69">
        <f t="shared" si="23"/>
        <v>21.58129160658817</v>
      </c>
      <c r="G113" s="69">
        <f t="shared" si="23"/>
        <v>60.836259745912756</v>
      </c>
      <c r="H113" s="69">
        <f t="shared" si="23"/>
        <v>25.31935945830941</v>
      </c>
      <c r="I113" s="69">
        <f t="shared" si="23"/>
        <v>31.418341176326592</v>
      </c>
    </row>
    <row r="159" spans="3:13" ht="19.5" customHeight="1">
      <c r="C159" s="4">
        <f>78+552</f>
        <v>630</v>
      </c>
      <c r="D159" s="4">
        <f>12+123</f>
        <v>135</v>
      </c>
      <c r="E159" s="4">
        <f>24+221</f>
        <v>245</v>
      </c>
      <c r="F159" s="4">
        <f>24+109</f>
        <v>133</v>
      </c>
      <c r="G159" s="8">
        <f>19+112</f>
        <v>131</v>
      </c>
      <c r="H159" s="4">
        <f>381+33</f>
        <v>414</v>
      </c>
      <c r="I159" s="14">
        <f>463+1114</f>
        <v>1577</v>
      </c>
      <c r="J159" s="23">
        <f>64+35</f>
        <v>99</v>
      </c>
      <c r="K159" s="23">
        <f>142+81</f>
        <v>223</v>
      </c>
      <c r="M159">
        <f>111+337</f>
        <v>448</v>
      </c>
    </row>
  </sheetData>
  <sheetProtection selectLockedCells="1" selectUnlockedCells="1"/>
  <printOptions/>
  <pageMargins left="0.37" right="0.75" top="0.4" bottom="0.31" header="0.26" footer="0.22"/>
  <pageSetup horizontalDpi="600" verticalDpi="600" orientation="landscape" r:id="rId9"/>
  <ignoredErrors>
    <ignoredError sqref="E48:H48 E62:I62 J84 J98 E104:I104 J13 J26:J27 J42"/>
    <ignoredError sqref="H90:H97" formula="1"/>
  </ignoredErrors>
  <tableParts>
    <tablePart r:id="rId3"/>
    <tablePart r:id="rId8"/>
    <tablePart r:id="rId5"/>
    <tablePart r:id="rId7"/>
    <tablePart r:id="rId6"/>
    <tablePart r:id="rId1"/>
    <tablePart r:id="rId2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X244"/>
  <sheetViews>
    <sheetView showGridLines="0" zoomScale="120" zoomScaleNormal="120" zoomScaleSheetLayoutView="112" zoomScalePageLayoutView="0" workbookViewId="0" topLeftCell="A9">
      <selection activeCell="C17" sqref="C17"/>
    </sheetView>
  </sheetViews>
  <sheetFormatPr defaultColWidth="9.140625" defaultRowHeight="15.75" customHeight="1"/>
  <cols>
    <col min="1" max="1" width="3.7109375" style="34" bestFit="1" customWidth="1"/>
    <col min="2" max="2" width="12.7109375" style="34" bestFit="1" customWidth="1"/>
    <col min="3" max="3" width="9.28125" style="34" customWidth="1"/>
    <col min="4" max="4" width="8.421875" style="34" bestFit="1" customWidth="1"/>
    <col min="5" max="5" width="9.57421875" style="34" customWidth="1"/>
    <col min="6" max="6" width="10.140625" style="34" bestFit="1" customWidth="1"/>
    <col min="7" max="7" width="8.421875" style="34" bestFit="1" customWidth="1"/>
    <col min="8" max="8" width="11.7109375" style="34" bestFit="1" customWidth="1"/>
    <col min="9" max="9" width="9.140625" style="34" bestFit="1" customWidth="1"/>
    <col min="10" max="10" width="10.00390625" style="34" bestFit="1" customWidth="1"/>
    <col min="11" max="11" width="9.8515625" style="34" bestFit="1" customWidth="1"/>
    <col min="12" max="12" width="9.140625" style="34" customWidth="1"/>
    <col min="13" max="13" width="11.421875" style="34" bestFit="1" customWidth="1"/>
    <col min="14" max="14" width="11.28125" style="34" bestFit="1" customWidth="1"/>
    <col min="15" max="15" width="10.8515625" style="35" bestFit="1" customWidth="1"/>
    <col min="16" max="16" width="10.8515625" style="35" customWidth="1"/>
    <col min="17" max="17" width="15.00390625" style="23" bestFit="1" customWidth="1"/>
    <col min="18" max="18" width="17.7109375" style="23" bestFit="1" customWidth="1"/>
    <col min="19" max="76" width="9.140625" style="23" customWidth="1"/>
  </cols>
  <sheetData>
    <row r="1" spans="3:13" ht="15.75" customHeight="1">
      <c r="C1" s="339"/>
      <c r="D1" s="339"/>
      <c r="E1" s="339"/>
      <c r="F1" s="339"/>
      <c r="G1" s="339"/>
      <c r="H1" s="339"/>
      <c r="I1" s="339"/>
      <c r="J1" s="339"/>
      <c r="K1" s="339"/>
      <c r="L1" s="340"/>
      <c r="M1" s="339"/>
    </row>
    <row r="2" ht="15.75" customHeight="1">
      <c r="E2" s="34" t="s">
        <v>129</v>
      </c>
    </row>
    <row r="3" ht="15.75" customHeight="1">
      <c r="L3" s="34" t="s">
        <v>35</v>
      </c>
    </row>
    <row r="4" spans="1:75" s="2" customFormat="1" ht="15.75" customHeight="1" thickBot="1">
      <c r="A4" s="58" t="s">
        <v>85</v>
      </c>
      <c r="B4" s="58" t="s">
        <v>0</v>
      </c>
      <c r="C4" s="58" t="s">
        <v>11</v>
      </c>
      <c r="D4" s="58" t="s">
        <v>14</v>
      </c>
      <c r="E4" s="58" t="s">
        <v>125</v>
      </c>
      <c r="F4" s="58" t="s">
        <v>13</v>
      </c>
      <c r="G4" s="58" t="s">
        <v>48</v>
      </c>
      <c r="H4" s="59" t="s">
        <v>124</v>
      </c>
      <c r="I4" s="58" t="s">
        <v>12</v>
      </c>
      <c r="J4" s="58" t="s">
        <v>17</v>
      </c>
      <c r="K4" s="58" t="s">
        <v>15</v>
      </c>
      <c r="L4" s="58" t="s">
        <v>66</v>
      </c>
      <c r="M4" s="45" t="s">
        <v>126</v>
      </c>
      <c r="N4" s="299" t="s">
        <v>127</v>
      </c>
      <c r="O4" s="45" t="s">
        <v>122</v>
      </c>
      <c r="P4" s="45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</row>
    <row r="5" spans="1:76" ht="15.75" customHeight="1">
      <c r="A5" s="45">
        <v>1</v>
      </c>
      <c r="B5" s="45" t="s">
        <v>1</v>
      </c>
      <c r="C5" s="296">
        <v>36778784</v>
      </c>
      <c r="D5" s="296">
        <v>633968</v>
      </c>
      <c r="E5" s="296">
        <v>8616927</v>
      </c>
      <c r="F5" s="296">
        <v>2372066</v>
      </c>
      <c r="G5" s="296">
        <v>1673901</v>
      </c>
      <c r="H5" s="296">
        <v>5743894</v>
      </c>
      <c r="I5" s="296">
        <v>20754558</v>
      </c>
      <c r="J5" s="296">
        <v>7341711</v>
      </c>
      <c r="K5" s="296">
        <v>7252303</v>
      </c>
      <c r="L5" s="296">
        <v>50827337</v>
      </c>
      <c r="M5" s="296">
        <f>12106110+1298538</f>
        <v>13404648</v>
      </c>
      <c r="N5" s="58">
        <f aca="true" t="shared" si="0" ref="N5:N19">SUM(C5:M5)</f>
        <v>155400097</v>
      </c>
      <c r="O5" s="58">
        <v>146605020</v>
      </c>
      <c r="P5" s="58"/>
      <c r="Q5" s="250"/>
      <c r="BX5"/>
    </row>
    <row r="6" spans="1:76" ht="15.75" customHeight="1">
      <c r="A6" s="45">
        <v>2</v>
      </c>
      <c r="B6" s="45" t="s">
        <v>56</v>
      </c>
      <c r="C6" s="296">
        <v>17573</v>
      </c>
      <c r="D6" s="296">
        <v>77770</v>
      </c>
      <c r="E6" s="296"/>
      <c r="F6" s="296"/>
      <c r="G6" s="296">
        <v>278110</v>
      </c>
      <c r="H6" s="296">
        <f>77554+93</f>
        <v>77647</v>
      </c>
      <c r="I6" s="296"/>
      <c r="J6" s="296"/>
      <c r="K6" s="296"/>
      <c r="L6" s="296"/>
      <c r="M6" s="296">
        <v>26664</v>
      </c>
      <c r="N6" s="58">
        <f>SUM(C6:M6)</f>
        <v>477764</v>
      </c>
      <c r="O6" s="58">
        <v>0</v>
      </c>
      <c r="P6" s="58"/>
      <c r="Q6" s="250"/>
      <c r="BX6"/>
    </row>
    <row r="7" spans="1:76" ht="15.75" customHeight="1">
      <c r="A7" s="45">
        <v>3</v>
      </c>
      <c r="B7" s="45" t="s">
        <v>2</v>
      </c>
      <c r="C7" s="296">
        <f>957114+15337503</f>
        <v>16294617</v>
      </c>
      <c r="D7" s="296">
        <f>3312454</f>
        <v>3312454</v>
      </c>
      <c r="E7" s="296">
        <f>9097361</f>
        <v>9097361</v>
      </c>
      <c r="F7" s="296">
        <f>1109648</f>
        <v>1109648</v>
      </c>
      <c r="G7" s="296">
        <f>2604295</f>
        <v>2604295</v>
      </c>
      <c r="H7" s="296">
        <f>2510796</f>
        <v>2510796</v>
      </c>
      <c r="I7" s="296">
        <f>8780720+8249333</f>
        <v>17030053</v>
      </c>
      <c r="J7" s="296">
        <v>0</v>
      </c>
      <c r="K7" s="296">
        <f>4491372</f>
        <v>4491372</v>
      </c>
      <c r="L7" s="296">
        <v>53433309</v>
      </c>
      <c r="M7" s="296">
        <f>1218862</f>
        <v>1218862</v>
      </c>
      <c r="N7" s="58">
        <f t="shared" si="0"/>
        <v>111102767</v>
      </c>
      <c r="O7" s="58">
        <v>111971369</v>
      </c>
      <c r="P7" s="58"/>
      <c r="Q7" s="250"/>
      <c r="BX7"/>
    </row>
    <row r="8" spans="1:76" ht="15.75" customHeight="1">
      <c r="A8" s="45">
        <v>4</v>
      </c>
      <c r="B8" s="45" t="s">
        <v>83</v>
      </c>
      <c r="C8" s="296">
        <v>5304822</v>
      </c>
      <c r="D8" s="296">
        <v>72916</v>
      </c>
      <c r="E8" s="296">
        <v>1970424</v>
      </c>
      <c r="F8" s="296">
        <v>883788</v>
      </c>
      <c r="G8" s="296">
        <v>206823</v>
      </c>
      <c r="H8" s="296">
        <f>391725+70140+481585+220167</f>
        <v>1163617</v>
      </c>
      <c r="I8" s="296">
        <f>43238+4762585+2349</f>
        <v>4808172</v>
      </c>
      <c r="J8" s="296">
        <v>304159</v>
      </c>
      <c r="K8" s="296">
        <f>547676+43238</f>
        <v>590914</v>
      </c>
      <c r="L8" s="296"/>
      <c r="M8" s="296">
        <v>2200370</v>
      </c>
      <c r="N8" s="58">
        <f t="shared" si="0"/>
        <v>17506005</v>
      </c>
      <c r="O8" s="58">
        <v>13673144</v>
      </c>
      <c r="P8" s="58"/>
      <c r="Q8" s="250"/>
      <c r="BX8"/>
    </row>
    <row r="9" spans="1:76" ht="15.75" customHeight="1">
      <c r="A9" s="45">
        <v>5</v>
      </c>
      <c r="B9" s="45" t="s">
        <v>3</v>
      </c>
      <c r="C9" s="165">
        <v>7521015.452</v>
      </c>
      <c r="D9" s="165">
        <v>132087.358</v>
      </c>
      <c r="E9" s="165">
        <v>3767766.644</v>
      </c>
      <c r="F9" s="165">
        <v>1626976.033</v>
      </c>
      <c r="G9" s="165">
        <v>517937.437</v>
      </c>
      <c r="H9" s="165">
        <v>1819511.027</v>
      </c>
      <c r="I9" s="165">
        <v>5518096.653</v>
      </c>
      <c r="J9" s="165"/>
      <c r="K9" s="165">
        <f>993410.9+750367.672</f>
        <v>1743778.5720000002</v>
      </c>
      <c r="L9" s="165"/>
      <c r="M9" s="165">
        <v>3200323.102</v>
      </c>
      <c r="N9" s="58">
        <f t="shared" si="0"/>
        <v>25847492.278000005</v>
      </c>
      <c r="O9" s="58">
        <v>24541477.299</v>
      </c>
      <c r="P9" s="58"/>
      <c r="Q9" s="250"/>
      <c r="BX9"/>
    </row>
    <row r="10" spans="1:76" ht="15.75" customHeight="1">
      <c r="A10" s="45">
        <v>6</v>
      </c>
      <c r="B10" s="45" t="s">
        <v>111</v>
      </c>
      <c r="C10" s="296">
        <v>4944351</v>
      </c>
      <c r="D10" s="296"/>
      <c r="E10" s="296">
        <v>5660326</v>
      </c>
      <c r="F10" s="296"/>
      <c r="G10" s="296"/>
      <c r="H10" s="296">
        <f>1468242+906634</f>
        <v>2374876</v>
      </c>
      <c r="I10" s="296">
        <v>7046431</v>
      </c>
      <c r="J10" s="296"/>
      <c r="K10" s="296"/>
      <c r="L10" s="296"/>
      <c r="M10" s="296"/>
      <c r="N10" s="58">
        <f>SUM(C10:M10)</f>
        <v>20025984</v>
      </c>
      <c r="O10" s="58">
        <v>18544068</v>
      </c>
      <c r="P10" s="58"/>
      <c r="Q10" s="250"/>
      <c r="BX10"/>
    </row>
    <row r="11" spans="1:76" ht="15.75" customHeight="1">
      <c r="A11" s="45">
        <v>7</v>
      </c>
      <c r="B11" s="45" t="s">
        <v>7</v>
      </c>
      <c r="C11" s="296">
        <v>5423597</v>
      </c>
      <c r="D11" s="296">
        <v>1626314</v>
      </c>
      <c r="E11" s="296">
        <v>2791220</v>
      </c>
      <c r="F11" s="296">
        <v>905058</v>
      </c>
      <c r="G11" s="296">
        <v>1257098</v>
      </c>
      <c r="H11" s="296">
        <v>1091927</v>
      </c>
      <c r="I11" s="296">
        <v>5158239</v>
      </c>
      <c r="J11" s="296">
        <v>232963</v>
      </c>
      <c r="K11" s="296">
        <v>1641304</v>
      </c>
      <c r="L11" s="296">
        <v>3792682</v>
      </c>
      <c r="M11" s="296">
        <v>124040</v>
      </c>
      <c r="N11" s="58">
        <f t="shared" si="0"/>
        <v>24044442</v>
      </c>
      <c r="O11" s="58">
        <v>21918590.59</v>
      </c>
      <c r="P11" s="58"/>
      <c r="Q11" s="250"/>
      <c r="BX11"/>
    </row>
    <row r="12" spans="1:76" ht="15.75" customHeight="1">
      <c r="A12" s="45">
        <v>8</v>
      </c>
      <c r="B12" s="45" t="s">
        <v>19</v>
      </c>
      <c r="C12" s="296">
        <v>1009168.744</v>
      </c>
      <c r="D12" s="296">
        <v>38827</v>
      </c>
      <c r="E12" s="296">
        <f>1527596</f>
        <v>1527596</v>
      </c>
      <c r="F12" s="296">
        <v>174812</v>
      </c>
      <c r="G12" s="296">
        <v>64453</v>
      </c>
      <c r="H12" s="296">
        <f>782733+6917263</f>
        <v>7699996</v>
      </c>
      <c r="I12" s="296">
        <v>6505343</v>
      </c>
      <c r="J12" s="296">
        <v>414439</v>
      </c>
      <c r="K12" s="296">
        <v>375565</v>
      </c>
      <c r="L12" s="296">
        <v>0</v>
      </c>
      <c r="M12" s="296">
        <f>389761</f>
        <v>389761</v>
      </c>
      <c r="N12" s="58">
        <f t="shared" si="0"/>
        <v>18199960.744</v>
      </c>
      <c r="O12" s="58">
        <v>15992658</v>
      </c>
      <c r="P12" s="58"/>
      <c r="Q12" s="250"/>
      <c r="BX12"/>
    </row>
    <row r="13" spans="1:76" ht="15.75" customHeight="1">
      <c r="A13" s="45">
        <v>9</v>
      </c>
      <c r="B13" s="45" t="s">
        <v>8</v>
      </c>
      <c r="C13" s="296">
        <v>1250059</v>
      </c>
      <c r="D13" s="296">
        <v>0</v>
      </c>
      <c r="E13" s="296">
        <v>303571</v>
      </c>
      <c r="F13" s="296">
        <v>451878</v>
      </c>
      <c r="G13" s="296">
        <v>57841</v>
      </c>
      <c r="H13" s="296">
        <v>913608</v>
      </c>
      <c r="I13" s="296">
        <v>2327238</v>
      </c>
      <c r="J13" s="296">
        <v>17010</v>
      </c>
      <c r="K13" s="296">
        <v>348200</v>
      </c>
      <c r="L13" s="296">
        <v>0</v>
      </c>
      <c r="M13" s="296">
        <v>625176</v>
      </c>
      <c r="N13" s="58">
        <f t="shared" si="0"/>
        <v>6294581</v>
      </c>
      <c r="O13" s="58">
        <v>7668940</v>
      </c>
      <c r="P13" s="58"/>
      <c r="Q13" s="250"/>
      <c r="BX13"/>
    </row>
    <row r="14" spans="1:17" s="23" customFormat="1" ht="15.75" customHeight="1">
      <c r="A14" s="45">
        <v>10</v>
      </c>
      <c r="B14" s="45" t="s">
        <v>50</v>
      </c>
      <c r="C14" s="165">
        <v>1249111</v>
      </c>
      <c r="D14" s="165">
        <v>54123</v>
      </c>
      <c r="E14" s="165">
        <v>1204851</v>
      </c>
      <c r="F14" s="165"/>
      <c r="G14" s="165">
        <v>29289</v>
      </c>
      <c r="H14" s="165">
        <v>266922</v>
      </c>
      <c r="I14" s="165">
        <f>6794325+792755</f>
        <v>7587080</v>
      </c>
      <c r="J14" s="165">
        <v>1385447</v>
      </c>
      <c r="K14" s="165">
        <v>55520</v>
      </c>
      <c r="L14" s="165"/>
      <c r="M14" s="165">
        <f>2190246+922029</f>
        <v>3112275</v>
      </c>
      <c r="N14" s="58">
        <f t="shared" si="0"/>
        <v>14944618</v>
      </c>
      <c r="O14" s="58">
        <v>16470362</v>
      </c>
      <c r="P14" s="58"/>
      <c r="Q14" s="250"/>
    </row>
    <row r="15" spans="1:76" ht="15.75" customHeight="1">
      <c r="A15" s="45">
        <v>11</v>
      </c>
      <c r="B15" s="45" t="s">
        <v>4</v>
      </c>
      <c r="C15" s="296">
        <v>436803.71365560003</v>
      </c>
      <c r="D15" s="296">
        <v>34108.96</v>
      </c>
      <c r="E15" s="296">
        <v>29300.544</v>
      </c>
      <c r="F15" s="296">
        <v>168601.847575</v>
      </c>
      <c r="G15" s="296">
        <v>10366.5576166</v>
      </c>
      <c r="H15" s="296">
        <v>1887.5977562000007</v>
      </c>
      <c r="I15" s="296">
        <v>6877019.3774190005</v>
      </c>
      <c r="J15" s="296">
        <v>1201482.942875</v>
      </c>
      <c r="K15" s="296">
        <v>222212.29202789997</v>
      </c>
      <c r="L15" s="296">
        <v>0</v>
      </c>
      <c r="M15" s="296">
        <v>177308.49006</v>
      </c>
      <c r="N15" s="58">
        <f>SUM(C15:M15)</f>
        <v>9159092.3229853</v>
      </c>
      <c r="O15" s="58">
        <v>9088547.017</v>
      </c>
      <c r="P15" s="58"/>
      <c r="Q15" s="250"/>
      <c r="BX15"/>
    </row>
    <row r="16" spans="1:76" ht="15.75" customHeight="1">
      <c r="A16" s="45">
        <v>12</v>
      </c>
      <c r="B16" s="45" t="s">
        <v>6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>
        <v>5269359</v>
      </c>
      <c r="N16" s="58">
        <f t="shared" si="0"/>
        <v>5269359</v>
      </c>
      <c r="O16" s="58">
        <v>4050934</v>
      </c>
      <c r="P16" s="58"/>
      <c r="Q16" s="250"/>
      <c r="BX16"/>
    </row>
    <row r="17" spans="1:76" ht="15.75" customHeight="1">
      <c r="A17" s="45">
        <v>13</v>
      </c>
      <c r="B17" s="45" t="s">
        <v>37</v>
      </c>
      <c r="C17" s="296">
        <v>3447150</v>
      </c>
      <c r="D17" s="296">
        <v>1581266</v>
      </c>
      <c r="E17" s="296">
        <v>650316</v>
      </c>
      <c r="F17" s="296">
        <v>928691</v>
      </c>
      <c r="G17" s="296">
        <v>232814</v>
      </c>
      <c r="H17" s="296">
        <v>1580850</v>
      </c>
      <c r="I17" s="296">
        <f>2998745+1594089</f>
        <v>4592834</v>
      </c>
      <c r="J17" s="296"/>
      <c r="K17" s="296">
        <v>946028</v>
      </c>
      <c r="L17" s="296"/>
      <c r="M17" s="296">
        <f>63588+941804+329225</f>
        <v>1334617</v>
      </c>
      <c r="N17" s="58">
        <f t="shared" si="0"/>
        <v>15294566</v>
      </c>
      <c r="O17" s="58">
        <v>15493734</v>
      </c>
      <c r="P17" s="58"/>
      <c r="Q17" s="250"/>
      <c r="BX17"/>
    </row>
    <row r="18" spans="1:76" ht="15.75" customHeight="1">
      <c r="A18" s="45">
        <v>14</v>
      </c>
      <c r="B18" s="45" t="s">
        <v>69</v>
      </c>
      <c r="C18" s="296">
        <v>17723443</v>
      </c>
      <c r="D18" s="296">
        <v>0</v>
      </c>
      <c r="E18" s="296">
        <v>0</v>
      </c>
      <c r="F18" s="296">
        <v>0</v>
      </c>
      <c r="G18" s="296">
        <v>4359488</v>
      </c>
      <c r="H18" s="296">
        <f>2989661+1017309</f>
        <v>4006970</v>
      </c>
      <c r="I18" s="296">
        <f>21698332</f>
        <v>21698332</v>
      </c>
      <c r="J18" s="296">
        <f>2572303</f>
        <v>2572303</v>
      </c>
      <c r="K18" s="296">
        <f>6424830</f>
        <v>6424830</v>
      </c>
      <c r="L18" s="296">
        <v>0</v>
      </c>
      <c r="M18" s="296">
        <f>24049396</f>
        <v>24049396</v>
      </c>
      <c r="N18" s="58">
        <f t="shared" si="0"/>
        <v>80834762</v>
      </c>
      <c r="O18" s="58">
        <v>71489963</v>
      </c>
      <c r="P18" s="58"/>
      <c r="Q18" s="250"/>
      <c r="BX18"/>
    </row>
    <row r="19" spans="1:76" ht="15.75" customHeight="1">
      <c r="A19" s="45">
        <v>15</v>
      </c>
      <c r="B19" s="45" t="s">
        <v>70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>
        <v>20044543</v>
      </c>
      <c r="N19" s="58">
        <f t="shared" si="0"/>
        <v>20044543</v>
      </c>
      <c r="O19" s="58">
        <v>13443496.43</v>
      </c>
      <c r="P19" s="58"/>
      <c r="Q19" s="250"/>
      <c r="BX19"/>
    </row>
    <row r="20" spans="1:76" ht="15.75" customHeight="1">
      <c r="A20" s="45">
        <v>16</v>
      </c>
      <c r="B20" s="45" t="s">
        <v>9</v>
      </c>
      <c r="C20" s="296">
        <v>777880</v>
      </c>
      <c r="D20" s="296">
        <v>7944</v>
      </c>
      <c r="E20" s="296">
        <v>2071653</v>
      </c>
      <c r="F20" s="296">
        <v>64202</v>
      </c>
      <c r="G20" s="296">
        <v>6270</v>
      </c>
      <c r="H20" s="296"/>
      <c r="I20" s="296">
        <f>1708271+292247</f>
        <v>2000518</v>
      </c>
      <c r="J20" s="296"/>
      <c r="K20" s="296">
        <f>102468+79321</f>
        <v>181789</v>
      </c>
      <c r="L20" s="296"/>
      <c r="M20" s="296">
        <f>242534</f>
        <v>242534</v>
      </c>
      <c r="N20" s="58">
        <f aca="true" t="shared" si="1" ref="N20:N25">SUM(C20:M20)</f>
        <v>5352790</v>
      </c>
      <c r="O20" s="58">
        <v>5809185</v>
      </c>
      <c r="P20" s="58"/>
      <c r="Q20" s="250"/>
      <c r="BX20"/>
    </row>
    <row r="21" spans="1:75" s="3" customFormat="1" ht="15.75" customHeight="1">
      <c r="A21" s="45">
        <v>17</v>
      </c>
      <c r="B21" s="45" t="s">
        <v>51</v>
      </c>
      <c r="C21" s="296">
        <v>247899.957</v>
      </c>
      <c r="D21" s="296">
        <v>0</v>
      </c>
      <c r="E21" s="296">
        <v>6122.043</v>
      </c>
      <c r="F21" s="296">
        <v>7790.515</v>
      </c>
      <c r="G21" s="296">
        <v>1232.107</v>
      </c>
      <c r="H21" s="296">
        <v>0</v>
      </c>
      <c r="I21" s="296">
        <v>834483.4</v>
      </c>
      <c r="J21" s="296">
        <v>60000</v>
      </c>
      <c r="K21" s="296">
        <v>7623.522</v>
      </c>
      <c r="L21" s="296">
        <v>0</v>
      </c>
      <c r="M21" s="296">
        <v>74686.874</v>
      </c>
      <c r="N21" s="58">
        <f t="shared" si="1"/>
        <v>1239838.4180000003</v>
      </c>
      <c r="O21" s="58">
        <v>1178017.03</v>
      </c>
      <c r="P21" s="58"/>
      <c r="Q21" s="250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</row>
    <row r="22" spans="1:76" ht="15.75" customHeight="1">
      <c r="A22" s="45">
        <v>18</v>
      </c>
      <c r="B22" s="165" t="s">
        <v>128</v>
      </c>
      <c r="C22" s="296">
        <v>333347.873</v>
      </c>
      <c r="D22" s="296">
        <v>0</v>
      </c>
      <c r="E22" s="296">
        <v>0</v>
      </c>
      <c r="F22" s="296">
        <v>127008.375</v>
      </c>
      <c r="G22" s="296">
        <v>12043.812</v>
      </c>
      <c r="H22" s="297">
        <f>205300.422+6611.472</f>
        <v>211911.894</v>
      </c>
      <c r="I22" s="296">
        <f>418402.44</f>
        <v>418402.44</v>
      </c>
      <c r="J22" s="296">
        <v>273088.731</v>
      </c>
      <c r="K22" s="296">
        <v>238992</v>
      </c>
      <c r="L22" s="296">
        <v>0</v>
      </c>
      <c r="M22" s="296">
        <f>506303.503+186716.412</f>
        <v>693019.915</v>
      </c>
      <c r="N22" s="58">
        <f t="shared" si="1"/>
        <v>2307815.04</v>
      </c>
      <c r="O22" s="58">
        <v>2654451.0300000003</v>
      </c>
      <c r="P22" s="58"/>
      <c r="Q22" s="250"/>
      <c r="BX22"/>
    </row>
    <row r="23" spans="1:76" ht="15.75" customHeight="1">
      <c r="A23" s="45">
        <v>19</v>
      </c>
      <c r="B23" s="45" t="s">
        <v>53</v>
      </c>
      <c r="C23" s="298">
        <f>370057+8737051</f>
        <v>9107108</v>
      </c>
      <c r="D23" s="298">
        <v>1337777</v>
      </c>
      <c r="E23" s="298">
        <v>13315244</v>
      </c>
      <c r="F23" s="298">
        <v>1184432</v>
      </c>
      <c r="G23" s="298">
        <v>2432297</v>
      </c>
      <c r="H23" s="298">
        <f>5324626+2635491</f>
        <v>7960117</v>
      </c>
      <c r="I23" s="298">
        <f>8528542+12352944</f>
        <v>20881486</v>
      </c>
      <c r="J23" s="298"/>
      <c r="K23" s="298">
        <v>5485595</v>
      </c>
      <c r="L23" s="298"/>
      <c r="M23" s="298">
        <v>1332137</v>
      </c>
      <c r="N23" s="58">
        <f t="shared" si="1"/>
        <v>63036193</v>
      </c>
      <c r="O23" s="58">
        <v>56804359</v>
      </c>
      <c r="P23" s="58"/>
      <c r="Q23" s="250"/>
      <c r="BX23"/>
    </row>
    <row r="24" spans="1:75" s="21" customFormat="1" ht="15.75" customHeight="1">
      <c r="A24" s="45">
        <v>20</v>
      </c>
      <c r="B24" s="45" t="s">
        <v>74</v>
      </c>
      <c r="C24" s="298">
        <v>3201346</v>
      </c>
      <c r="D24" s="298"/>
      <c r="E24" s="298">
        <v>804067</v>
      </c>
      <c r="F24" s="298">
        <v>437487</v>
      </c>
      <c r="G24" s="298">
        <v>78970</v>
      </c>
      <c r="H24" s="298">
        <v>2031720</v>
      </c>
      <c r="I24" s="298">
        <v>5538659</v>
      </c>
      <c r="J24" s="298">
        <v>62295</v>
      </c>
      <c r="K24" s="298">
        <v>1539459</v>
      </c>
      <c r="L24" s="298"/>
      <c r="M24" s="298">
        <v>1569607</v>
      </c>
      <c r="N24" s="58">
        <f t="shared" si="1"/>
        <v>15263610</v>
      </c>
      <c r="O24" s="58">
        <v>12529388</v>
      </c>
      <c r="P24" s="58"/>
      <c r="Q24" s="250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</row>
    <row r="25" spans="1:75" s="21" customFormat="1" ht="15.75" customHeight="1">
      <c r="A25" s="45">
        <v>21</v>
      </c>
      <c r="B25" s="45" t="s">
        <v>118</v>
      </c>
      <c r="C25" s="298">
        <f>29503+1018072</f>
        <v>1047575</v>
      </c>
      <c r="D25" s="298">
        <v>495734</v>
      </c>
      <c r="E25" s="298">
        <v>104955</v>
      </c>
      <c r="F25" s="298">
        <v>700019</v>
      </c>
      <c r="G25" s="298">
        <v>160967</v>
      </c>
      <c r="H25" s="298">
        <f>1793+598329</f>
        <v>600122</v>
      </c>
      <c r="I25" s="298">
        <f>1079729+449604</f>
        <v>1529333</v>
      </c>
      <c r="J25" s="298">
        <v>80682</v>
      </c>
      <c r="K25" s="298">
        <v>417925</v>
      </c>
      <c r="L25" s="298"/>
      <c r="M25" s="298">
        <v>150</v>
      </c>
      <c r="N25" s="58">
        <f t="shared" si="1"/>
        <v>5137462</v>
      </c>
      <c r="O25" s="300">
        <v>37400.459</v>
      </c>
      <c r="P25" s="58"/>
      <c r="Q25" s="250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</row>
    <row r="26" spans="1:75" s="2" customFormat="1" ht="15.75" customHeight="1">
      <c r="A26" s="58"/>
      <c r="B26" s="58" t="s">
        <v>10</v>
      </c>
      <c r="C26" s="60">
        <f aca="true" t="shared" si="2" ref="C26:O26">SUM(C5:C25)</f>
        <v>116115651.7396556</v>
      </c>
      <c r="D26" s="60">
        <f t="shared" si="2"/>
        <v>9405289.318</v>
      </c>
      <c r="E26" s="60">
        <f t="shared" si="2"/>
        <v>51921700.231</v>
      </c>
      <c r="F26" s="60">
        <f t="shared" si="2"/>
        <v>11142457.770575</v>
      </c>
      <c r="G26" s="60">
        <f t="shared" si="2"/>
        <v>13984195.913616601</v>
      </c>
      <c r="H26" s="60">
        <f t="shared" si="2"/>
        <v>40056372.5187562</v>
      </c>
      <c r="I26" s="60">
        <f t="shared" si="2"/>
        <v>141106277.870419</v>
      </c>
      <c r="J26" s="60">
        <f t="shared" si="2"/>
        <v>13945580.673875</v>
      </c>
      <c r="K26" s="60">
        <f t="shared" si="2"/>
        <v>31963410.386027902</v>
      </c>
      <c r="L26" s="60">
        <f t="shared" si="2"/>
        <v>108053328</v>
      </c>
      <c r="M26" s="60">
        <f t="shared" si="2"/>
        <v>79089477.38106</v>
      </c>
      <c r="N26" s="60">
        <f t="shared" si="2"/>
        <v>616783741.8029853</v>
      </c>
      <c r="O26" s="60">
        <f t="shared" si="2"/>
        <v>569965103.8549999</v>
      </c>
      <c r="P26" s="58"/>
      <c r="Q26" s="25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</row>
    <row r="27" ht="15.75" customHeight="1">
      <c r="B27" s="44"/>
    </row>
    <row r="29" spans="5:12" ht="15.75" customHeight="1">
      <c r="E29" s="34" t="s">
        <v>130</v>
      </c>
      <c r="L29" s="34" t="s">
        <v>35</v>
      </c>
    </row>
    <row r="30" spans="1:16" ht="15.75" customHeight="1" thickBot="1">
      <c r="A30" s="38" t="s">
        <v>85</v>
      </c>
      <c r="B30" s="38" t="s">
        <v>0</v>
      </c>
      <c r="C30" s="38" t="s">
        <v>11</v>
      </c>
      <c r="D30" s="38" t="s">
        <v>14</v>
      </c>
      <c r="E30" s="38" t="s">
        <v>16</v>
      </c>
      <c r="F30" s="38" t="s">
        <v>13</v>
      </c>
      <c r="G30" s="38" t="s">
        <v>48</v>
      </c>
      <c r="H30" s="38" t="s">
        <v>49</v>
      </c>
      <c r="I30" s="38" t="s">
        <v>12</v>
      </c>
      <c r="J30" s="38" t="s">
        <v>17</v>
      </c>
      <c r="K30" s="38" t="s">
        <v>15</v>
      </c>
      <c r="L30" s="38" t="s">
        <v>66</v>
      </c>
      <c r="M30" s="31" t="s">
        <v>18</v>
      </c>
      <c r="N30" s="299" t="s">
        <v>127</v>
      </c>
      <c r="O30" s="45" t="s">
        <v>122</v>
      </c>
      <c r="P30" s="45"/>
    </row>
    <row r="31" spans="1:16" ht="15.75" customHeight="1">
      <c r="A31" s="39">
        <v>1</v>
      </c>
      <c r="B31" s="31" t="s">
        <v>1</v>
      </c>
      <c r="C31" s="40">
        <v>33131333</v>
      </c>
      <c r="D31" s="40">
        <v>389344</v>
      </c>
      <c r="E31" s="40">
        <v>3742772</v>
      </c>
      <c r="F31" s="40">
        <v>1032144</v>
      </c>
      <c r="G31" s="40">
        <v>1166847</v>
      </c>
      <c r="H31" s="40">
        <v>4772196</v>
      </c>
      <c r="I31" s="40">
        <v>260348</v>
      </c>
      <c r="J31" s="40">
        <v>5497045</v>
      </c>
      <c r="K31" s="40">
        <v>7667064</v>
      </c>
      <c r="L31" s="40">
        <v>33877383</v>
      </c>
      <c r="M31" s="40">
        <f>1363251+6100117</f>
        <v>7463368</v>
      </c>
      <c r="N31" s="38">
        <f>SUM(C31:M31)</f>
        <v>98999844</v>
      </c>
      <c r="O31" s="244">
        <v>96741967</v>
      </c>
      <c r="P31" s="58"/>
    </row>
    <row r="32" spans="1:16" ht="15.75" customHeight="1">
      <c r="A32" s="39">
        <v>2</v>
      </c>
      <c r="B32" s="31" t="s">
        <v>56</v>
      </c>
      <c r="C32" s="40">
        <v>13841</v>
      </c>
      <c r="D32" s="40">
        <v>59052</v>
      </c>
      <c r="E32" s="40"/>
      <c r="F32" s="40"/>
      <c r="G32" s="40">
        <v>211268</v>
      </c>
      <c r="H32" s="40">
        <f>58166+112</f>
        <v>58278</v>
      </c>
      <c r="I32" s="40"/>
      <c r="J32" s="40"/>
      <c r="K32" s="40"/>
      <c r="L32" s="40"/>
      <c r="M32" s="40">
        <v>20246</v>
      </c>
      <c r="N32" s="38">
        <f>SUM(C32:M32)</f>
        <v>362685</v>
      </c>
      <c r="O32" s="244">
        <v>0</v>
      </c>
      <c r="P32" s="58"/>
    </row>
    <row r="33" spans="1:16" ht="15.75" customHeight="1">
      <c r="A33" s="39">
        <v>3</v>
      </c>
      <c r="B33" s="31" t="s">
        <v>2</v>
      </c>
      <c r="C33" s="40">
        <f>189408+11316620</f>
        <v>11506028</v>
      </c>
      <c r="D33" s="40">
        <f>1011814</f>
        <v>1011814</v>
      </c>
      <c r="E33" s="40">
        <f>1380951</f>
        <v>1380951</v>
      </c>
      <c r="F33" s="40">
        <f>65495</f>
        <v>65495</v>
      </c>
      <c r="G33" s="40">
        <f>2255965</f>
        <v>2255965</v>
      </c>
      <c r="H33" s="40">
        <f>1513299</f>
        <v>1513299</v>
      </c>
      <c r="I33" s="40">
        <f>731968+873443</f>
        <v>1605411</v>
      </c>
      <c r="J33" s="40">
        <v>0</v>
      </c>
      <c r="K33" s="40">
        <f>3458729</f>
        <v>3458729</v>
      </c>
      <c r="L33" s="40">
        <v>471381</v>
      </c>
      <c r="M33" s="40">
        <f>1098003</f>
        <v>1098003</v>
      </c>
      <c r="N33" s="38">
        <f>SUM(C33:M33)</f>
        <v>24367076</v>
      </c>
      <c r="O33" s="244">
        <v>33762545</v>
      </c>
      <c r="P33" s="58"/>
    </row>
    <row r="34" spans="1:16" ht="15.75" customHeight="1">
      <c r="A34" s="39">
        <v>4</v>
      </c>
      <c r="B34" s="31" t="s">
        <v>83</v>
      </c>
      <c r="C34" s="40">
        <v>3712572</v>
      </c>
      <c r="D34" s="40">
        <v>-548</v>
      </c>
      <c r="E34" s="40">
        <v>1066025</v>
      </c>
      <c r="F34" s="40">
        <v>229323</v>
      </c>
      <c r="G34" s="40">
        <v>96896</v>
      </c>
      <c r="H34" s="40">
        <f>1410+54009+126383+220167</f>
        <v>401969</v>
      </c>
      <c r="I34" s="40">
        <f>324181</f>
        <v>324181</v>
      </c>
      <c r="J34" s="40">
        <v>288986</v>
      </c>
      <c r="K34" s="40">
        <f>410406+22437</f>
        <v>432843</v>
      </c>
      <c r="L34" s="40"/>
      <c r="M34" s="40">
        <v>675402</v>
      </c>
      <c r="N34" s="38">
        <f aca="true" t="shared" si="3" ref="N34:N51">SUM(C34:M34)</f>
        <v>7227649</v>
      </c>
      <c r="O34" s="244">
        <v>6485983</v>
      </c>
      <c r="P34" s="58"/>
    </row>
    <row r="35" spans="1:16" ht="15.75" customHeight="1">
      <c r="A35" s="39">
        <v>5</v>
      </c>
      <c r="B35" s="31" t="s">
        <v>3</v>
      </c>
      <c r="C35" s="40">
        <f>5054597.127+2209147.116</f>
        <v>7263744.243000001</v>
      </c>
      <c r="D35" s="40">
        <v>117213.953</v>
      </c>
      <c r="E35" s="40">
        <f>3326117.978+291673.146</f>
        <v>3617791.1240000003</v>
      </c>
      <c r="F35" s="40">
        <f>1444528.226+61627.2</f>
        <v>1506155.426</v>
      </c>
      <c r="G35" s="40">
        <f>320891.921</f>
        <v>320891.921</v>
      </c>
      <c r="H35" s="40">
        <f>1410302.126-20250.567</f>
        <v>1390051.559</v>
      </c>
      <c r="I35" s="40">
        <v>757304.557</v>
      </c>
      <c r="J35" s="40">
        <v>0</v>
      </c>
      <c r="K35" s="40">
        <f>880864.12+590112.443+2591.961</f>
        <v>1473568.524</v>
      </c>
      <c r="L35" s="40">
        <v>0</v>
      </c>
      <c r="M35" s="40">
        <f>1790595.976+1336506.81</f>
        <v>3127102.7860000003</v>
      </c>
      <c r="N35" s="38">
        <f t="shared" si="3"/>
        <v>19573824.093000002</v>
      </c>
      <c r="O35" s="244">
        <v>18709682.526</v>
      </c>
      <c r="P35" s="58"/>
    </row>
    <row r="36" spans="1:16" ht="15.75" customHeight="1">
      <c r="A36" s="39">
        <v>6</v>
      </c>
      <c r="B36" s="45" t="s">
        <v>111</v>
      </c>
      <c r="C36" s="40">
        <v>3291664</v>
      </c>
      <c r="D36" s="40"/>
      <c r="E36" s="40">
        <v>1355867</v>
      </c>
      <c r="F36" s="40"/>
      <c r="G36" s="40"/>
      <c r="H36" s="40">
        <f>449567+906323</f>
        <v>1355890</v>
      </c>
      <c r="I36" s="40">
        <v>1576943</v>
      </c>
      <c r="J36" s="40"/>
      <c r="K36" s="40"/>
      <c r="L36" s="40"/>
      <c r="M36" s="40"/>
      <c r="N36" s="38">
        <f t="shared" si="3"/>
        <v>7580364</v>
      </c>
      <c r="O36" s="244">
        <v>6008691</v>
      </c>
      <c r="P36" s="58"/>
    </row>
    <row r="37" spans="1:16" ht="15.75" customHeight="1">
      <c r="A37" s="39">
        <v>7</v>
      </c>
      <c r="B37" s="31" t="s">
        <v>7</v>
      </c>
      <c r="C37" s="40">
        <v>2403457</v>
      </c>
      <c r="D37" s="40">
        <v>944673</v>
      </c>
      <c r="E37" s="40">
        <v>1912467</v>
      </c>
      <c r="F37" s="40">
        <v>418603</v>
      </c>
      <c r="G37" s="40">
        <v>752090</v>
      </c>
      <c r="H37" s="40">
        <v>713684</v>
      </c>
      <c r="I37" s="40">
        <v>116550</v>
      </c>
      <c r="J37" s="40">
        <v>249105</v>
      </c>
      <c r="K37" s="40">
        <v>1778315</v>
      </c>
      <c r="L37" s="40">
        <v>2380130</v>
      </c>
      <c r="M37" s="40">
        <v>47717</v>
      </c>
      <c r="N37" s="38">
        <f t="shared" si="3"/>
        <v>11716791</v>
      </c>
      <c r="O37" s="244">
        <v>10759714</v>
      </c>
      <c r="P37" s="58"/>
    </row>
    <row r="38" spans="1:16" ht="15.75" customHeight="1">
      <c r="A38" s="39">
        <v>8</v>
      </c>
      <c r="B38" s="31" t="s">
        <v>19</v>
      </c>
      <c r="C38" s="40">
        <v>842580.029</v>
      </c>
      <c r="D38" s="40">
        <v>0</v>
      </c>
      <c r="E38" s="40">
        <v>295267.097</v>
      </c>
      <c r="F38" s="40">
        <v>0</v>
      </c>
      <c r="G38" s="40">
        <v>0</v>
      </c>
      <c r="H38" s="40">
        <f>6811165+289343.32</f>
        <v>7100508.32</v>
      </c>
      <c r="I38" s="40">
        <v>85502.07</v>
      </c>
      <c r="J38" s="40">
        <v>192677.782</v>
      </c>
      <c r="K38" s="40">
        <v>289154.662</v>
      </c>
      <c r="L38" s="40">
        <v>0</v>
      </c>
      <c r="M38" s="40">
        <f>239932.264</f>
        <v>239932.264</v>
      </c>
      <c r="N38" s="38">
        <f t="shared" si="3"/>
        <v>9045622.224000001</v>
      </c>
      <c r="O38" s="244">
        <v>6229967</v>
      </c>
      <c r="P38" s="58"/>
    </row>
    <row r="39" spans="1:16" ht="15.75" customHeight="1">
      <c r="A39" s="39">
        <v>9</v>
      </c>
      <c r="B39" s="31" t="s">
        <v>8</v>
      </c>
      <c r="C39" s="40">
        <v>1094126</v>
      </c>
      <c r="D39" s="40">
        <v>0</v>
      </c>
      <c r="E39" s="40">
        <v>271995</v>
      </c>
      <c r="F39" s="40">
        <v>2736</v>
      </c>
      <c r="G39" s="40">
        <v>38943</v>
      </c>
      <c r="H39" s="40">
        <v>580495</v>
      </c>
      <c r="I39" s="40">
        <v>148654</v>
      </c>
      <c r="J39" s="40">
        <v>11674</v>
      </c>
      <c r="K39" s="40">
        <v>320752</v>
      </c>
      <c r="L39" s="40">
        <v>0</v>
      </c>
      <c r="M39" s="40">
        <v>422877</v>
      </c>
      <c r="N39" s="38">
        <f t="shared" si="3"/>
        <v>2892252</v>
      </c>
      <c r="O39" s="244">
        <v>3329227</v>
      </c>
      <c r="P39" s="58"/>
    </row>
    <row r="40" spans="1:16" ht="15.75" customHeight="1">
      <c r="A40" s="39">
        <v>10</v>
      </c>
      <c r="B40" s="31" t="s">
        <v>50</v>
      </c>
      <c r="C40" s="40">
        <v>402527</v>
      </c>
      <c r="D40" s="40">
        <v>0</v>
      </c>
      <c r="E40" s="40">
        <v>515698</v>
      </c>
      <c r="F40" s="40">
        <v>0</v>
      </c>
      <c r="G40" s="40">
        <v>0</v>
      </c>
      <c r="H40" s="40">
        <v>52358</v>
      </c>
      <c r="I40" s="40">
        <v>332807</v>
      </c>
      <c r="J40" s="40">
        <v>766677</v>
      </c>
      <c r="K40" s="40">
        <v>0</v>
      </c>
      <c r="L40" s="40">
        <v>0</v>
      </c>
      <c r="M40" s="40">
        <v>0</v>
      </c>
      <c r="N40" s="38">
        <f t="shared" si="3"/>
        <v>2070067</v>
      </c>
      <c r="O40" s="244">
        <v>2539600</v>
      </c>
      <c r="P40" s="58"/>
    </row>
    <row r="41" spans="1:16" ht="15.75" customHeight="1">
      <c r="A41" s="39">
        <v>11</v>
      </c>
      <c r="B41" s="31" t="s">
        <v>4</v>
      </c>
      <c r="C41" s="40">
        <v>262074.182355195</v>
      </c>
      <c r="D41" s="40">
        <v>25300.3615843203</v>
      </c>
      <c r="E41" s="40">
        <v>23595.8945075642</v>
      </c>
      <c r="F41" s="40">
        <v>9285.76252435473</v>
      </c>
      <c r="G41" s="40">
        <v>0</v>
      </c>
      <c r="H41" s="40">
        <v>2976.870168012</v>
      </c>
      <c r="I41" s="40">
        <v>331296.217067442</v>
      </c>
      <c r="J41" s="40">
        <v>886658.426957718</v>
      </c>
      <c r="K41" s="40">
        <v>116249.137384665</v>
      </c>
      <c r="L41" s="40">
        <v>0</v>
      </c>
      <c r="M41" s="40">
        <v>141028.016133802</v>
      </c>
      <c r="N41" s="38">
        <f t="shared" si="3"/>
        <v>1798464.8686830732</v>
      </c>
      <c r="O41" s="244">
        <v>1402671.2199999997</v>
      </c>
      <c r="P41" s="58"/>
    </row>
    <row r="42" spans="1:16" ht="15.75" customHeight="1">
      <c r="A42" s="39">
        <v>12</v>
      </c>
      <c r="B42" s="31" t="s">
        <v>6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>
        <v>1907423</v>
      </c>
      <c r="N42" s="38">
        <f t="shared" si="3"/>
        <v>1907423</v>
      </c>
      <c r="O42" s="244">
        <v>1331970</v>
      </c>
      <c r="P42" s="58"/>
    </row>
    <row r="43" spans="1:17" ht="15.75" customHeight="1">
      <c r="A43" s="39">
        <v>13</v>
      </c>
      <c r="B43" s="31" t="s">
        <v>37</v>
      </c>
      <c r="C43" s="40">
        <v>2317221</v>
      </c>
      <c r="D43" s="40">
        <v>356251</v>
      </c>
      <c r="E43" s="40">
        <v>43866</v>
      </c>
      <c r="F43" s="40">
        <v>60622</v>
      </c>
      <c r="G43" s="40">
        <v>33170</v>
      </c>
      <c r="H43" s="40">
        <v>639564</v>
      </c>
      <c r="I43" s="40">
        <f>413244+242620</f>
        <v>655864</v>
      </c>
      <c r="J43" s="40"/>
      <c r="K43" s="40">
        <v>630904</v>
      </c>
      <c r="L43" s="40"/>
      <c r="M43" s="40">
        <f>16738+77801+75304</f>
        <v>169843</v>
      </c>
      <c r="N43" s="38">
        <f t="shared" si="3"/>
        <v>4907305</v>
      </c>
      <c r="O43" s="244">
        <v>5397008</v>
      </c>
      <c r="P43" s="58"/>
      <c r="Q43" s="23">
        <f>5397008-N43</f>
        <v>489703</v>
      </c>
    </row>
    <row r="44" spans="1:16" ht="15.75" customHeight="1">
      <c r="A44" s="39">
        <v>14</v>
      </c>
      <c r="B44" s="31" t="s">
        <v>69</v>
      </c>
      <c r="C44" s="40">
        <v>13559528</v>
      </c>
      <c r="D44" s="40">
        <v>0</v>
      </c>
      <c r="E44" s="40">
        <v>0</v>
      </c>
      <c r="F44" s="40">
        <v>0</v>
      </c>
      <c r="G44" s="40">
        <v>3136646</v>
      </c>
      <c r="H44" s="40">
        <f>-434312+1027074</f>
        <v>592762</v>
      </c>
      <c r="I44" s="40">
        <f>989060</f>
        <v>989060</v>
      </c>
      <c r="J44" s="40">
        <f>2312216</f>
        <v>2312216</v>
      </c>
      <c r="K44" s="40">
        <v>5158718</v>
      </c>
      <c r="L44" s="46">
        <v>0</v>
      </c>
      <c r="M44" s="40">
        <v>4929884</v>
      </c>
      <c r="N44" s="38">
        <f t="shared" si="3"/>
        <v>30678814</v>
      </c>
      <c r="O44" s="244">
        <v>28494158</v>
      </c>
      <c r="P44" s="58"/>
    </row>
    <row r="45" spans="1:16" ht="15.75" customHeight="1">
      <c r="A45" s="39">
        <v>15</v>
      </c>
      <c r="B45" s="31" t="s">
        <v>70</v>
      </c>
      <c r="C45" s="41"/>
      <c r="D45" s="41"/>
      <c r="E45" s="41"/>
      <c r="F45" s="41"/>
      <c r="G45" s="41"/>
      <c r="H45" s="41"/>
      <c r="I45" s="41"/>
      <c r="J45" s="41"/>
      <c r="K45" s="41"/>
      <c r="L45" s="46"/>
      <c r="M45" s="41">
        <v>10839724</v>
      </c>
      <c r="N45" s="38">
        <f t="shared" si="3"/>
        <v>10839724</v>
      </c>
      <c r="O45" s="244">
        <v>2412867.88</v>
      </c>
      <c r="P45" s="58"/>
    </row>
    <row r="46" spans="1:76" s="3" customFormat="1" ht="15.75" customHeight="1">
      <c r="A46" s="39">
        <v>16</v>
      </c>
      <c r="B46" s="31" t="s">
        <v>9</v>
      </c>
      <c r="C46" s="40">
        <v>477114</v>
      </c>
      <c r="D46" s="40">
        <v>2000</v>
      </c>
      <c r="E46" s="40">
        <v>281312</v>
      </c>
      <c r="F46" s="40">
        <v>0</v>
      </c>
      <c r="G46" s="40">
        <v>0</v>
      </c>
      <c r="H46" s="40">
        <v>0</v>
      </c>
      <c r="I46" s="40">
        <v>325783</v>
      </c>
      <c r="J46" s="40">
        <v>0</v>
      </c>
      <c r="K46" s="40">
        <f>15908+57869</f>
        <v>73777</v>
      </c>
      <c r="L46" s="46">
        <v>0</v>
      </c>
      <c r="M46" s="40">
        <v>82401</v>
      </c>
      <c r="N46" s="38">
        <f t="shared" si="3"/>
        <v>1242387</v>
      </c>
      <c r="O46" s="244">
        <v>1078469</v>
      </c>
      <c r="P46" s="58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</row>
    <row r="47" spans="1:16" ht="15.75" customHeight="1">
      <c r="A47" s="39">
        <v>17</v>
      </c>
      <c r="B47" s="31" t="s">
        <v>51</v>
      </c>
      <c r="C47" s="40">
        <v>160590.472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118700</v>
      </c>
      <c r="J47" s="40">
        <v>4715.676</v>
      </c>
      <c r="K47" s="40">
        <v>0</v>
      </c>
      <c r="L47" s="46">
        <v>0</v>
      </c>
      <c r="M47" s="40">
        <v>0</v>
      </c>
      <c r="N47" s="38">
        <f t="shared" si="3"/>
        <v>284006.148</v>
      </c>
      <c r="O47" s="244">
        <v>157403.24</v>
      </c>
      <c r="P47" s="58"/>
    </row>
    <row r="48" spans="1:16" ht="15.75" customHeight="1">
      <c r="A48" s="39">
        <v>18</v>
      </c>
      <c r="B48" s="165" t="s">
        <v>128</v>
      </c>
      <c r="C48" s="40">
        <v>232340.965</v>
      </c>
      <c r="D48" s="40">
        <v>0</v>
      </c>
      <c r="E48" s="40">
        <v>0</v>
      </c>
      <c r="F48" s="40">
        <f>11972.372</f>
        <v>11972.372</v>
      </c>
      <c r="G48" s="40">
        <v>813.52</v>
      </c>
      <c r="H48" s="40">
        <f>161214.026+6280.898</f>
        <v>167494.924</v>
      </c>
      <c r="I48" s="40">
        <v>35902.361</v>
      </c>
      <c r="J48" s="40">
        <v>138805.12</v>
      </c>
      <c r="K48" s="40">
        <v>193826.581</v>
      </c>
      <c r="L48" s="46">
        <v>0</v>
      </c>
      <c r="M48" s="40">
        <f>182442.427+111613.731</f>
        <v>294056.158</v>
      </c>
      <c r="N48" s="38">
        <f t="shared" si="3"/>
        <v>1075212.001</v>
      </c>
      <c r="O48" s="244">
        <v>1114476.283</v>
      </c>
      <c r="P48" s="58"/>
    </row>
    <row r="49" spans="1:16" s="23" customFormat="1" ht="15.75" customHeight="1">
      <c r="A49" s="39">
        <v>19</v>
      </c>
      <c r="B49" s="31" t="s">
        <v>53</v>
      </c>
      <c r="C49" s="41">
        <f>108141+6163721</f>
        <v>6271862</v>
      </c>
      <c r="D49" s="41">
        <v>50751</v>
      </c>
      <c r="E49" s="41">
        <v>6110733</v>
      </c>
      <c r="F49" s="41">
        <v>339903</v>
      </c>
      <c r="G49" s="41">
        <v>1501993</v>
      </c>
      <c r="H49" s="41">
        <f>5324626+2297051</f>
        <v>7621677</v>
      </c>
      <c r="I49" s="41">
        <f>1769476+470128</f>
        <v>2239604</v>
      </c>
      <c r="J49" s="40"/>
      <c r="K49" s="41">
        <v>5097528</v>
      </c>
      <c r="L49" s="46"/>
      <c r="M49" s="41">
        <v>880572</v>
      </c>
      <c r="N49" s="38">
        <f t="shared" si="3"/>
        <v>30114623</v>
      </c>
      <c r="O49" s="244">
        <v>25189428</v>
      </c>
      <c r="P49" s="246"/>
    </row>
    <row r="50" spans="1:76" s="2" customFormat="1" ht="15.75" customHeight="1">
      <c r="A50" s="39">
        <v>20</v>
      </c>
      <c r="B50" s="31" t="s">
        <v>74</v>
      </c>
      <c r="C50" s="41">
        <v>2213279</v>
      </c>
      <c r="D50" s="41"/>
      <c r="E50" s="41">
        <v>531632</v>
      </c>
      <c r="F50" s="41">
        <v>111750</v>
      </c>
      <c r="G50" s="41">
        <v>17263</v>
      </c>
      <c r="H50" s="41">
        <v>675207</v>
      </c>
      <c r="I50" s="41">
        <v>255681</v>
      </c>
      <c r="J50" s="41">
        <v>-73413</v>
      </c>
      <c r="K50" s="41">
        <v>154886</v>
      </c>
      <c r="L50" s="46"/>
      <c r="M50" s="41">
        <v>825970</v>
      </c>
      <c r="N50" s="38">
        <f t="shared" si="3"/>
        <v>4712255</v>
      </c>
      <c r="O50" s="244">
        <v>5769388.710000001</v>
      </c>
      <c r="P50" s="246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</row>
    <row r="51" spans="1:76" s="2" customFormat="1" ht="15.75" customHeight="1">
      <c r="A51" s="39">
        <v>21</v>
      </c>
      <c r="B51" s="31" t="s">
        <v>118</v>
      </c>
      <c r="C51" s="301">
        <f>10047+457799</f>
        <v>467846</v>
      </c>
      <c r="D51" s="301">
        <v>229774</v>
      </c>
      <c r="E51" s="301">
        <v>30979</v>
      </c>
      <c r="F51" s="301">
        <v>53602</v>
      </c>
      <c r="G51" s="301">
        <v>36797</v>
      </c>
      <c r="H51" s="301">
        <f>276043+776</f>
        <v>276819</v>
      </c>
      <c r="I51" s="301">
        <f>13885+5198</f>
        <v>19083</v>
      </c>
      <c r="J51" s="301">
        <v>36865</v>
      </c>
      <c r="K51" s="301">
        <v>96562</v>
      </c>
      <c r="L51" s="301"/>
      <c r="M51" s="301">
        <v>-842</v>
      </c>
      <c r="N51" s="38">
        <f t="shared" si="3"/>
        <v>1247485</v>
      </c>
      <c r="O51" s="272">
        <v>2680</v>
      </c>
      <c r="P51" s="246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</row>
    <row r="52" spans="1:16" ht="15.75" customHeight="1">
      <c r="A52" s="42"/>
      <c r="B52" s="43" t="s">
        <v>10</v>
      </c>
      <c r="C52" s="43">
        <f>SUM(C31:C51)</f>
        <v>89623727.8913552</v>
      </c>
      <c r="D52" s="43">
        <f aca="true" t="shared" si="4" ref="D52:O52">SUM(D31:D51)</f>
        <v>3185625.31458432</v>
      </c>
      <c r="E52" s="43">
        <f t="shared" si="4"/>
        <v>21180951.115507565</v>
      </c>
      <c r="F52" s="43">
        <f t="shared" si="4"/>
        <v>3841591.5605243547</v>
      </c>
      <c r="G52" s="43">
        <f t="shared" si="4"/>
        <v>9569583.441</v>
      </c>
      <c r="H52" s="43">
        <f t="shared" si="4"/>
        <v>27915229.67316801</v>
      </c>
      <c r="I52" s="43">
        <f t="shared" si="4"/>
        <v>10178674.20506744</v>
      </c>
      <c r="J52" s="43">
        <f t="shared" si="4"/>
        <v>10312012.004957717</v>
      </c>
      <c r="K52" s="43">
        <f t="shared" si="4"/>
        <v>26942876.904384665</v>
      </c>
      <c r="L52" s="43">
        <f t="shared" si="4"/>
        <v>36728894</v>
      </c>
      <c r="M52" s="43">
        <f t="shared" si="4"/>
        <v>33164707.224133804</v>
      </c>
      <c r="N52" s="43">
        <f>SUM(N31:N51)</f>
        <v>272643873.33468306</v>
      </c>
      <c r="O52" s="43">
        <f t="shared" si="4"/>
        <v>256917896.859</v>
      </c>
      <c r="P52" s="58"/>
    </row>
    <row r="55" spans="5:12" ht="15.75" customHeight="1" thickBot="1">
      <c r="E55" s="34" t="s">
        <v>131</v>
      </c>
      <c r="L55" s="34" t="s">
        <v>35</v>
      </c>
    </row>
    <row r="56" spans="1:16" ht="15.75" customHeight="1" thickBot="1">
      <c r="A56" s="131" t="s">
        <v>85</v>
      </c>
      <c r="B56" s="132" t="s">
        <v>0</v>
      </c>
      <c r="C56" s="132" t="s">
        <v>11</v>
      </c>
      <c r="D56" s="132" t="s">
        <v>14</v>
      </c>
      <c r="E56" s="132" t="s">
        <v>16</v>
      </c>
      <c r="F56" s="132" t="s">
        <v>13</v>
      </c>
      <c r="G56" s="132" t="s">
        <v>48</v>
      </c>
      <c r="H56" s="132" t="s">
        <v>49</v>
      </c>
      <c r="I56" s="132" t="s">
        <v>12</v>
      </c>
      <c r="J56" s="132" t="s">
        <v>17</v>
      </c>
      <c r="K56" s="132" t="s">
        <v>15</v>
      </c>
      <c r="L56" s="132" t="s">
        <v>66</v>
      </c>
      <c r="M56" s="136" t="s">
        <v>18</v>
      </c>
      <c r="N56" s="299" t="s">
        <v>127</v>
      </c>
      <c r="O56" s="45" t="s">
        <v>122</v>
      </c>
      <c r="P56" s="45"/>
    </row>
    <row r="57" spans="1:16" ht="15.75" customHeight="1">
      <c r="A57" s="135">
        <v>1</v>
      </c>
      <c r="B57" s="56" t="s">
        <v>1</v>
      </c>
      <c r="C57" s="56">
        <f aca="true" t="shared" si="5" ref="C57:N57">C5-C31</f>
        <v>3647451</v>
      </c>
      <c r="D57" s="56">
        <f t="shared" si="5"/>
        <v>244624</v>
      </c>
      <c r="E57" s="56">
        <f t="shared" si="5"/>
        <v>4874155</v>
      </c>
      <c r="F57" s="56">
        <f t="shared" si="5"/>
        <v>1339922</v>
      </c>
      <c r="G57" s="56">
        <f t="shared" si="5"/>
        <v>507054</v>
      </c>
      <c r="H57" s="56">
        <f t="shared" si="5"/>
        <v>971698</v>
      </c>
      <c r="I57" s="56">
        <f t="shared" si="5"/>
        <v>20494210</v>
      </c>
      <c r="J57" s="56">
        <f t="shared" si="5"/>
        <v>1844666</v>
      </c>
      <c r="K57" s="56">
        <f t="shared" si="5"/>
        <v>-414761</v>
      </c>
      <c r="L57" s="56">
        <f t="shared" si="5"/>
        <v>16949954</v>
      </c>
      <c r="M57" s="56">
        <f t="shared" si="5"/>
        <v>5941280</v>
      </c>
      <c r="N57" s="37">
        <f t="shared" si="5"/>
        <v>56400253</v>
      </c>
      <c r="O57" s="243">
        <v>49863053</v>
      </c>
      <c r="P57" s="58"/>
    </row>
    <row r="58" spans="1:16" ht="15.75" customHeight="1">
      <c r="A58" s="39">
        <v>2</v>
      </c>
      <c r="B58" s="31" t="s">
        <v>56</v>
      </c>
      <c r="C58" s="31">
        <f aca="true" t="shared" si="6" ref="C58:N58">C6-C32</f>
        <v>3732</v>
      </c>
      <c r="D58" s="31">
        <f t="shared" si="6"/>
        <v>18718</v>
      </c>
      <c r="E58" s="31">
        <f t="shared" si="6"/>
        <v>0</v>
      </c>
      <c r="F58" s="31">
        <f t="shared" si="6"/>
        <v>0</v>
      </c>
      <c r="G58" s="31">
        <f t="shared" si="6"/>
        <v>66842</v>
      </c>
      <c r="H58" s="31">
        <f t="shared" si="6"/>
        <v>19369</v>
      </c>
      <c r="I58" s="31">
        <f t="shared" si="6"/>
        <v>0</v>
      </c>
      <c r="J58" s="31">
        <f t="shared" si="6"/>
        <v>0</v>
      </c>
      <c r="K58" s="31">
        <f t="shared" si="6"/>
        <v>0</v>
      </c>
      <c r="L58" s="31">
        <f t="shared" si="6"/>
        <v>0</v>
      </c>
      <c r="M58" s="31">
        <f t="shared" si="6"/>
        <v>6418</v>
      </c>
      <c r="N58" s="38">
        <f t="shared" si="6"/>
        <v>115079</v>
      </c>
      <c r="O58" s="244">
        <v>0</v>
      </c>
      <c r="P58" s="58"/>
    </row>
    <row r="59" spans="1:16" ht="15.75" customHeight="1">
      <c r="A59" s="39">
        <v>3</v>
      </c>
      <c r="B59" s="31" t="s">
        <v>2</v>
      </c>
      <c r="C59" s="31">
        <f aca="true" t="shared" si="7" ref="C59:N59">C7-C33</f>
        <v>4788589</v>
      </c>
      <c r="D59" s="31">
        <f t="shared" si="7"/>
        <v>2300640</v>
      </c>
      <c r="E59" s="31">
        <f t="shared" si="7"/>
        <v>7716410</v>
      </c>
      <c r="F59" s="31">
        <f t="shared" si="7"/>
        <v>1044153</v>
      </c>
      <c r="G59" s="31">
        <f t="shared" si="7"/>
        <v>348330</v>
      </c>
      <c r="H59" s="31">
        <f t="shared" si="7"/>
        <v>997497</v>
      </c>
      <c r="I59" s="31">
        <f t="shared" si="7"/>
        <v>15424642</v>
      </c>
      <c r="J59" s="31">
        <f t="shared" si="7"/>
        <v>0</v>
      </c>
      <c r="K59" s="31">
        <f t="shared" si="7"/>
        <v>1032643</v>
      </c>
      <c r="L59" s="31">
        <f t="shared" si="7"/>
        <v>52961928</v>
      </c>
      <c r="M59" s="31">
        <f t="shared" si="7"/>
        <v>120859</v>
      </c>
      <c r="N59" s="38">
        <f t="shared" si="7"/>
        <v>86735691</v>
      </c>
      <c r="O59" s="244">
        <v>78208824</v>
      </c>
      <c r="P59" s="58"/>
    </row>
    <row r="60" spans="1:16" ht="15.75" customHeight="1">
      <c r="A60" s="39">
        <v>4</v>
      </c>
      <c r="B60" s="31" t="s">
        <v>83</v>
      </c>
      <c r="C60" s="31">
        <f aca="true" t="shared" si="8" ref="C60:N60">C8-C34</f>
        <v>1592250</v>
      </c>
      <c r="D60" s="31">
        <f t="shared" si="8"/>
        <v>73464</v>
      </c>
      <c r="E60" s="31">
        <f t="shared" si="8"/>
        <v>904399</v>
      </c>
      <c r="F60" s="31">
        <f t="shared" si="8"/>
        <v>654465</v>
      </c>
      <c r="G60" s="31">
        <f t="shared" si="8"/>
        <v>109927</v>
      </c>
      <c r="H60" s="31">
        <f t="shared" si="8"/>
        <v>761648</v>
      </c>
      <c r="I60" s="31">
        <f t="shared" si="8"/>
        <v>4483991</v>
      </c>
      <c r="J60" s="31">
        <f t="shared" si="8"/>
        <v>15173</v>
      </c>
      <c r="K60" s="31">
        <f t="shared" si="8"/>
        <v>158071</v>
      </c>
      <c r="L60" s="31">
        <f t="shared" si="8"/>
        <v>0</v>
      </c>
      <c r="M60" s="31">
        <f t="shared" si="8"/>
        <v>1524968</v>
      </c>
      <c r="N60" s="38">
        <f t="shared" si="8"/>
        <v>10278356</v>
      </c>
      <c r="O60" s="244">
        <v>7187161</v>
      </c>
      <c r="P60" s="58"/>
    </row>
    <row r="61" spans="1:16" ht="15.75" customHeight="1">
      <c r="A61" s="39">
        <v>5</v>
      </c>
      <c r="B61" s="31" t="s">
        <v>3</v>
      </c>
      <c r="C61" s="31">
        <f aca="true" t="shared" si="9" ref="C61:N61">C9-C35</f>
        <v>257271.20899999887</v>
      </c>
      <c r="D61" s="31">
        <f t="shared" si="9"/>
        <v>14873.405000000013</v>
      </c>
      <c r="E61" s="31">
        <f t="shared" si="9"/>
        <v>149975.51999999955</v>
      </c>
      <c r="F61" s="31">
        <f t="shared" si="9"/>
        <v>120820.60700000008</v>
      </c>
      <c r="G61" s="31">
        <f t="shared" si="9"/>
        <v>197045.516</v>
      </c>
      <c r="H61" s="31">
        <f t="shared" si="9"/>
        <v>429459.4680000001</v>
      </c>
      <c r="I61" s="31">
        <f t="shared" si="9"/>
        <v>4760792.096</v>
      </c>
      <c r="J61" s="31">
        <f t="shared" si="9"/>
        <v>0</v>
      </c>
      <c r="K61" s="31">
        <f t="shared" si="9"/>
        <v>270210.0480000002</v>
      </c>
      <c r="L61" s="31">
        <f t="shared" si="9"/>
        <v>0</v>
      </c>
      <c r="M61" s="31">
        <f t="shared" si="9"/>
        <v>73220.31599999964</v>
      </c>
      <c r="N61" s="38">
        <f t="shared" si="9"/>
        <v>6273668.185000002</v>
      </c>
      <c r="O61" s="244">
        <v>5831794.772999998</v>
      </c>
      <c r="P61" s="58"/>
    </row>
    <row r="62" spans="1:16" ht="15.75" customHeight="1">
      <c r="A62" s="39">
        <v>6</v>
      </c>
      <c r="B62" s="45" t="s">
        <v>111</v>
      </c>
      <c r="C62" s="31">
        <f aca="true" t="shared" si="10" ref="C62:N62">C10-C36</f>
        <v>1652687</v>
      </c>
      <c r="D62" s="31">
        <f t="shared" si="10"/>
        <v>0</v>
      </c>
      <c r="E62" s="31">
        <f t="shared" si="10"/>
        <v>4304459</v>
      </c>
      <c r="F62" s="31">
        <f t="shared" si="10"/>
        <v>0</v>
      </c>
      <c r="G62" s="31">
        <f t="shared" si="10"/>
        <v>0</v>
      </c>
      <c r="H62" s="31">
        <f t="shared" si="10"/>
        <v>1018986</v>
      </c>
      <c r="I62" s="31">
        <f t="shared" si="10"/>
        <v>5469488</v>
      </c>
      <c r="J62" s="31">
        <f t="shared" si="10"/>
        <v>0</v>
      </c>
      <c r="K62" s="31">
        <f t="shared" si="10"/>
        <v>0</v>
      </c>
      <c r="L62" s="31">
        <f t="shared" si="10"/>
        <v>0</v>
      </c>
      <c r="M62" s="31">
        <f t="shared" si="10"/>
        <v>0</v>
      </c>
      <c r="N62" s="38">
        <f t="shared" si="10"/>
        <v>12445620</v>
      </c>
      <c r="O62" s="244">
        <v>12535377</v>
      </c>
      <c r="P62" s="58"/>
    </row>
    <row r="63" spans="1:16" ht="15.75" customHeight="1">
      <c r="A63" s="39">
        <v>7</v>
      </c>
      <c r="B63" s="31" t="s">
        <v>7</v>
      </c>
      <c r="C63" s="31">
        <f aca="true" t="shared" si="11" ref="C63:N63">C11-C37</f>
        <v>3020140</v>
      </c>
      <c r="D63" s="31">
        <f t="shared" si="11"/>
        <v>681641</v>
      </c>
      <c r="E63" s="31">
        <f t="shared" si="11"/>
        <v>878753</v>
      </c>
      <c r="F63" s="31">
        <f t="shared" si="11"/>
        <v>486455</v>
      </c>
      <c r="G63" s="31">
        <f t="shared" si="11"/>
        <v>505008</v>
      </c>
      <c r="H63" s="31">
        <f t="shared" si="11"/>
        <v>378243</v>
      </c>
      <c r="I63" s="31">
        <f t="shared" si="11"/>
        <v>5041689</v>
      </c>
      <c r="J63" s="31">
        <f t="shared" si="11"/>
        <v>-16142</v>
      </c>
      <c r="K63" s="31">
        <f t="shared" si="11"/>
        <v>-137011</v>
      </c>
      <c r="L63" s="31">
        <f t="shared" si="11"/>
        <v>1412552</v>
      </c>
      <c r="M63" s="31">
        <f t="shared" si="11"/>
        <v>76323</v>
      </c>
      <c r="N63" s="38">
        <f t="shared" si="11"/>
        <v>12327651</v>
      </c>
      <c r="O63" s="244">
        <v>11158876.59</v>
      </c>
      <c r="P63" s="58"/>
    </row>
    <row r="64" spans="1:16" ht="15.75" customHeight="1">
      <c r="A64" s="39">
        <v>8</v>
      </c>
      <c r="B64" s="31" t="s">
        <v>19</v>
      </c>
      <c r="C64" s="31">
        <f aca="true" t="shared" si="12" ref="C64:N64">C12-C38</f>
        <v>166588.71499999997</v>
      </c>
      <c r="D64" s="31">
        <f t="shared" si="12"/>
        <v>38827</v>
      </c>
      <c r="E64" s="31">
        <f t="shared" si="12"/>
        <v>1232328.903</v>
      </c>
      <c r="F64" s="31">
        <f t="shared" si="12"/>
        <v>174812</v>
      </c>
      <c r="G64" s="31">
        <f t="shared" si="12"/>
        <v>64453</v>
      </c>
      <c r="H64" s="31">
        <f t="shared" si="12"/>
        <v>599487.6799999997</v>
      </c>
      <c r="I64" s="31">
        <f t="shared" si="12"/>
        <v>6419840.93</v>
      </c>
      <c r="J64" s="31">
        <f t="shared" si="12"/>
        <v>221761.218</v>
      </c>
      <c r="K64" s="31">
        <f t="shared" si="12"/>
        <v>86410.33799999999</v>
      </c>
      <c r="L64" s="31">
        <f t="shared" si="12"/>
        <v>0</v>
      </c>
      <c r="M64" s="31">
        <f t="shared" si="12"/>
        <v>149828.736</v>
      </c>
      <c r="N64" s="38">
        <f t="shared" si="12"/>
        <v>9154338.519999998</v>
      </c>
      <c r="O64" s="244">
        <v>9762691</v>
      </c>
      <c r="P64" s="58"/>
    </row>
    <row r="65" spans="1:16" ht="15.75" customHeight="1">
      <c r="A65" s="39">
        <v>9</v>
      </c>
      <c r="B65" s="31" t="s">
        <v>8</v>
      </c>
      <c r="C65" s="31">
        <f aca="true" t="shared" si="13" ref="C65:N65">C13-C39</f>
        <v>155933</v>
      </c>
      <c r="D65" s="31">
        <f t="shared" si="13"/>
        <v>0</v>
      </c>
      <c r="E65" s="31">
        <f t="shared" si="13"/>
        <v>31576</v>
      </c>
      <c r="F65" s="31">
        <f t="shared" si="13"/>
        <v>449142</v>
      </c>
      <c r="G65" s="31">
        <f t="shared" si="13"/>
        <v>18898</v>
      </c>
      <c r="H65" s="31">
        <f t="shared" si="13"/>
        <v>333113</v>
      </c>
      <c r="I65" s="31">
        <f t="shared" si="13"/>
        <v>2178584</v>
      </c>
      <c r="J65" s="31">
        <f t="shared" si="13"/>
        <v>5336</v>
      </c>
      <c r="K65" s="31">
        <f t="shared" si="13"/>
        <v>27448</v>
      </c>
      <c r="L65" s="31">
        <f t="shared" si="13"/>
        <v>0</v>
      </c>
      <c r="M65" s="31">
        <f t="shared" si="13"/>
        <v>202299</v>
      </c>
      <c r="N65" s="38">
        <f t="shared" si="13"/>
        <v>3402329</v>
      </c>
      <c r="O65" s="244">
        <v>4339713</v>
      </c>
      <c r="P65" s="58"/>
    </row>
    <row r="66" spans="1:16" ht="15.75" customHeight="1">
      <c r="A66" s="39">
        <v>10</v>
      </c>
      <c r="B66" s="31" t="s">
        <v>50</v>
      </c>
      <c r="C66" s="31">
        <f aca="true" t="shared" si="14" ref="C66:N66">C14-C40</f>
        <v>846584</v>
      </c>
      <c r="D66" s="31">
        <f t="shared" si="14"/>
        <v>54123</v>
      </c>
      <c r="E66" s="31">
        <f t="shared" si="14"/>
        <v>689153</v>
      </c>
      <c r="F66" s="31">
        <f t="shared" si="14"/>
        <v>0</v>
      </c>
      <c r="G66" s="31">
        <f t="shared" si="14"/>
        <v>29289</v>
      </c>
      <c r="H66" s="31">
        <f t="shared" si="14"/>
        <v>214564</v>
      </c>
      <c r="I66" s="31">
        <f t="shared" si="14"/>
        <v>7254273</v>
      </c>
      <c r="J66" s="31">
        <f t="shared" si="14"/>
        <v>618770</v>
      </c>
      <c r="K66" s="31">
        <f t="shared" si="14"/>
        <v>55520</v>
      </c>
      <c r="L66" s="31">
        <f t="shared" si="14"/>
        <v>0</v>
      </c>
      <c r="M66" s="31">
        <f t="shared" si="14"/>
        <v>3112275</v>
      </c>
      <c r="N66" s="38">
        <f t="shared" si="14"/>
        <v>12874551</v>
      </c>
      <c r="O66" s="244">
        <v>13930762</v>
      </c>
      <c r="P66" s="58"/>
    </row>
    <row r="67" spans="1:16" ht="15.75" customHeight="1">
      <c r="A67" s="39">
        <v>11</v>
      </c>
      <c r="B67" s="31" t="s">
        <v>4</v>
      </c>
      <c r="C67" s="31">
        <f aca="true" t="shared" si="15" ref="C67:M67">C15-C41</f>
        <v>174729.53130040504</v>
      </c>
      <c r="D67" s="31">
        <f t="shared" si="15"/>
        <v>8808.598415679699</v>
      </c>
      <c r="E67" s="31">
        <f t="shared" si="15"/>
        <v>5704.649492435801</v>
      </c>
      <c r="F67" s="31">
        <f t="shared" si="15"/>
        <v>159316.08505064526</v>
      </c>
      <c r="G67" s="31">
        <f t="shared" si="15"/>
        <v>10366.5576166</v>
      </c>
      <c r="H67" s="31">
        <f t="shared" si="15"/>
        <v>-1089.272411811999</v>
      </c>
      <c r="I67" s="31">
        <f t="shared" si="15"/>
        <v>6545723.160351559</v>
      </c>
      <c r="J67" s="31">
        <f t="shared" si="15"/>
        <v>314824.51591728197</v>
      </c>
      <c r="K67" s="31">
        <f t="shared" si="15"/>
        <v>105963.15464323497</v>
      </c>
      <c r="L67" s="31">
        <f t="shared" si="15"/>
        <v>0</v>
      </c>
      <c r="M67" s="31">
        <f t="shared" si="15"/>
        <v>36280.473926198</v>
      </c>
      <c r="N67" s="38">
        <f>N15-N41</f>
        <v>7360627.454302227</v>
      </c>
      <c r="O67" s="244">
        <v>7685875.797000001</v>
      </c>
      <c r="P67" s="58"/>
    </row>
    <row r="68" spans="1:16" ht="15.75" customHeight="1">
      <c r="A68" s="39">
        <v>12</v>
      </c>
      <c r="B68" s="31" t="s">
        <v>6</v>
      </c>
      <c r="C68" s="31">
        <f aca="true" t="shared" si="16" ref="C68:N68">C16-C42</f>
        <v>0</v>
      </c>
      <c r="D68" s="31">
        <f t="shared" si="16"/>
        <v>0</v>
      </c>
      <c r="E68" s="31">
        <f t="shared" si="16"/>
        <v>0</v>
      </c>
      <c r="F68" s="31">
        <f t="shared" si="16"/>
        <v>0</v>
      </c>
      <c r="G68" s="31">
        <f t="shared" si="16"/>
        <v>0</v>
      </c>
      <c r="H68" s="31">
        <f t="shared" si="16"/>
        <v>0</v>
      </c>
      <c r="I68" s="31">
        <f t="shared" si="16"/>
        <v>0</v>
      </c>
      <c r="J68" s="31">
        <f t="shared" si="16"/>
        <v>0</v>
      </c>
      <c r="K68" s="31">
        <f t="shared" si="16"/>
        <v>0</v>
      </c>
      <c r="L68" s="31">
        <f t="shared" si="16"/>
        <v>0</v>
      </c>
      <c r="M68" s="31">
        <f t="shared" si="16"/>
        <v>3361936</v>
      </c>
      <c r="N68" s="38">
        <f t="shared" si="16"/>
        <v>3361936</v>
      </c>
      <c r="O68" s="244">
        <v>2718964</v>
      </c>
      <c r="P68" s="58"/>
    </row>
    <row r="69" spans="1:16" ht="15.75" customHeight="1">
      <c r="A69" s="39">
        <v>13</v>
      </c>
      <c r="B69" s="31" t="s">
        <v>37</v>
      </c>
      <c r="C69" s="31">
        <f aca="true" t="shared" si="17" ref="C69:N69">C17-C43</f>
        <v>1129929</v>
      </c>
      <c r="D69" s="31">
        <f t="shared" si="17"/>
        <v>1225015</v>
      </c>
      <c r="E69" s="31">
        <f t="shared" si="17"/>
        <v>606450</v>
      </c>
      <c r="F69" s="31">
        <f t="shared" si="17"/>
        <v>868069</v>
      </c>
      <c r="G69" s="31">
        <f t="shared" si="17"/>
        <v>199644</v>
      </c>
      <c r="H69" s="31">
        <f t="shared" si="17"/>
        <v>941286</v>
      </c>
      <c r="I69" s="31">
        <f t="shared" si="17"/>
        <v>3936970</v>
      </c>
      <c r="J69" s="31">
        <f t="shared" si="17"/>
        <v>0</v>
      </c>
      <c r="K69" s="31">
        <f t="shared" si="17"/>
        <v>315124</v>
      </c>
      <c r="L69" s="31">
        <f t="shared" si="17"/>
        <v>0</v>
      </c>
      <c r="M69" s="31">
        <f t="shared" si="17"/>
        <v>1164774</v>
      </c>
      <c r="N69" s="38">
        <f t="shared" si="17"/>
        <v>10387261</v>
      </c>
      <c r="O69" s="244">
        <v>10096726</v>
      </c>
      <c r="P69" s="58"/>
    </row>
    <row r="70" spans="1:16" ht="15.75" customHeight="1">
      <c r="A70" s="39">
        <v>14</v>
      </c>
      <c r="B70" s="31" t="s">
        <v>69</v>
      </c>
      <c r="C70" s="31">
        <f aca="true" t="shared" si="18" ref="C70:N70">C18-C44</f>
        <v>4163915</v>
      </c>
      <c r="D70" s="31">
        <f t="shared" si="18"/>
        <v>0</v>
      </c>
      <c r="E70" s="31">
        <f t="shared" si="18"/>
        <v>0</v>
      </c>
      <c r="F70" s="31">
        <f t="shared" si="18"/>
        <v>0</v>
      </c>
      <c r="G70" s="31">
        <f t="shared" si="18"/>
        <v>1222842</v>
      </c>
      <c r="H70" s="31">
        <f t="shared" si="18"/>
        <v>3414208</v>
      </c>
      <c r="I70" s="31">
        <f t="shared" si="18"/>
        <v>20709272</v>
      </c>
      <c r="J70" s="31">
        <f t="shared" si="18"/>
        <v>260087</v>
      </c>
      <c r="K70" s="31">
        <f t="shared" si="18"/>
        <v>1266112</v>
      </c>
      <c r="L70" s="31">
        <f t="shared" si="18"/>
        <v>0</v>
      </c>
      <c r="M70" s="31">
        <f t="shared" si="18"/>
        <v>19119512</v>
      </c>
      <c r="N70" s="38">
        <f t="shared" si="18"/>
        <v>50155948</v>
      </c>
      <c r="O70" s="244">
        <v>42995805</v>
      </c>
      <c r="P70" s="58"/>
    </row>
    <row r="71" spans="1:16" ht="15.75" customHeight="1">
      <c r="A71" s="39">
        <v>15</v>
      </c>
      <c r="B71" s="31" t="s">
        <v>70</v>
      </c>
      <c r="C71" s="31">
        <f aca="true" t="shared" si="19" ref="C71:N71">C19-C45</f>
        <v>0</v>
      </c>
      <c r="D71" s="31">
        <f t="shared" si="19"/>
        <v>0</v>
      </c>
      <c r="E71" s="31">
        <f t="shared" si="19"/>
        <v>0</v>
      </c>
      <c r="F71" s="31">
        <f t="shared" si="19"/>
        <v>0</v>
      </c>
      <c r="G71" s="31">
        <f t="shared" si="19"/>
        <v>0</v>
      </c>
      <c r="H71" s="31">
        <f t="shared" si="19"/>
        <v>0</v>
      </c>
      <c r="I71" s="31">
        <f t="shared" si="19"/>
        <v>0</v>
      </c>
      <c r="J71" s="31">
        <f t="shared" si="19"/>
        <v>0</v>
      </c>
      <c r="K71" s="31">
        <f t="shared" si="19"/>
        <v>0</v>
      </c>
      <c r="L71" s="31">
        <f t="shared" si="19"/>
        <v>0</v>
      </c>
      <c r="M71" s="31">
        <f t="shared" si="19"/>
        <v>9204819</v>
      </c>
      <c r="N71" s="38">
        <f t="shared" si="19"/>
        <v>9204819</v>
      </c>
      <c r="O71" s="244">
        <v>11030628.55</v>
      </c>
      <c r="P71" s="58"/>
    </row>
    <row r="72" spans="1:16" ht="15.75" customHeight="1">
      <c r="A72" s="39">
        <v>16</v>
      </c>
      <c r="B72" s="31" t="s">
        <v>9</v>
      </c>
      <c r="C72" s="31">
        <f aca="true" t="shared" si="20" ref="C72:N72">C20-C46</f>
        <v>300766</v>
      </c>
      <c r="D72" s="31">
        <f t="shared" si="20"/>
        <v>5944</v>
      </c>
      <c r="E72" s="31">
        <f t="shared" si="20"/>
        <v>1790341</v>
      </c>
      <c r="F72" s="31">
        <f t="shared" si="20"/>
        <v>64202</v>
      </c>
      <c r="G72" s="31">
        <f t="shared" si="20"/>
        <v>6270</v>
      </c>
      <c r="H72" s="31">
        <f t="shared" si="20"/>
        <v>0</v>
      </c>
      <c r="I72" s="31">
        <f t="shared" si="20"/>
        <v>1674735</v>
      </c>
      <c r="J72" s="31">
        <f t="shared" si="20"/>
        <v>0</v>
      </c>
      <c r="K72" s="31">
        <f t="shared" si="20"/>
        <v>108012</v>
      </c>
      <c r="L72" s="31">
        <f t="shared" si="20"/>
        <v>0</v>
      </c>
      <c r="M72" s="31">
        <f t="shared" si="20"/>
        <v>160133</v>
      </c>
      <c r="N72" s="38">
        <f t="shared" si="20"/>
        <v>4110403</v>
      </c>
      <c r="O72" s="244">
        <v>4730716</v>
      </c>
      <c r="P72" s="58"/>
    </row>
    <row r="73" spans="1:16" ht="15.75" customHeight="1">
      <c r="A73" s="39">
        <v>17</v>
      </c>
      <c r="B73" s="31" t="s">
        <v>51</v>
      </c>
      <c r="C73" s="31">
        <f aca="true" t="shared" si="21" ref="C73:N73">C21-C47</f>
        <v>87309.48499999999</v>
      </c>
      <c r="D73" s="31">
        <f t="shared" si="21"/>
        <v>0</v>
      </c>
      <c r="E73" s="31">
        <f t="shared" si="21"/>
        <v>6122.043</v>
      </c>
      <c r="F73" s="31">
        <f t="shared" si="21"/>
        <v>7790.515</v>
      </c>
      <c r="G73" s="31">
        <f t="shared" si="21"/>
        <v>1232.107</v>
      </c>
      <c r="H73" s="31">
        <f t="shared" si="21"/>
        <v>0</v>
      </c>
      <c r="I73" s="31">
        <f t="shared" si="21"/>
        <v>715783.4</v>
      </c>
      <c r="J73" s="31">
        <f t="shared" si="21"/>
        <v>55284.324</v>
      </c>
      <c r="K73" s="31">
        <f t="shared" si="21"/>
        <v>7623.522</v>
      </c>
      <c r="L73" s="31">
        <f t="shared" si="21"/>
        <v>0</v>
      </c>
      <c r="M73" s="31">
        <f t="shared" si="21"/>
        <v>74686.874</v>
      </c>
      <c r="N73" s="38">
        <f t="shared" si="21"/>
        <v>955832.2700000003</v>
      </c>
      <c r="O73" s="244">
        <v>1020613.79</v>
      </c>
      <c r="P73" s="58"/>
    </row>
    <row r="74" spans="1:16" ht="15.75" customHeight="1">
      <c r="A74" s="39">
        <v>18</v>
      </c>
      <c r="B74" s="165" t="s">
        <v>128</v>
      </c>
      <c r="C74" s="31">
        <f aca="true" t="shared" si="22" ref="C74:N74">C22-C48</f>
        <v>101006.90800000002</v>
      </c>
      <c r="D74" s="31">
        <f t="shared" si="22"/>
        <v>0</v>
      </c>
      <c r="E74" s="31">
        <f t="shared" si="22"/>
        <v>0</v>
      </c>
      <c r="F74" s="31">
        <f t="shared" si="22"/>
        <v>115036.003</v>
      </c>
      <c r="G74" s="31">
        <f t="shared" si="22"/>
        <v>11230.292</v>
      </c>
      <c r="H74" s="31">
        <f t="shared" si="22"/>
        <v>44416.97</v>
      </c>
      <c r="I74" s="31">
        <f t="shared" si="22"/>
        <v>382500.079</v>
      </c>
      <c r="J74" s="31">
        <f t="shared" si="22"/>
        <v>134283.61100000003</v>
      </c>
      <c r="K74" s="31">
        <f t="shared" si="22"/>
        <v>45165.418999999994</v>
      </c>
      <c r="L74" s="31">
        <f t="shared" si="22"/>
        <v>0</v>
      </c>
      <c r="M74" s="31">
        <f t="shared" si="22"/>
        <v>398963.75700000004</v>
      </c>
      <c r="N74" s="38">
        <f t="shared" si="22"/>
        <v>1232603.039</v>
      </c>
      <c r="O74" s="244">
        <v>1539974.7470000002</v>
      </c>
      <c r="P74" s="58"/>
    </row>
    <row r="75" spans="1:16" s="23" customFormat="1" ht="15.75" customHeight="1">
      <c r="A75" s="39">
        <v>19</v>
      </c>
      <c r="B75" s="31" t="s">
        <v>53</v>
      </c>
      <c r="C75" s="31">
        <f aca="true" t="shared" si="23" ref="C75:N75">C23-C49</f>
        <v>2835246</v>
      </c>
      <c r="D75" s="31">
        <f t="shared" si="23"/>
        <v>1287026</v>
      </c>
      <c r="E75" s="31">
        <f t="shared" si="23"/>
        <v>7204511</v>
      </c>
      <c r="F75" s="31">
        <f t="shared" si="23"/>
        <v>844529</v>
      </c>
      <c r="G75" s="31">
        <f t="shared" si="23"/>
        <v>930304</v>
      </c>
      <c r="H75" s="31">
        <f t="shared" si="23"/>
        <v>338440</v>
      </c>
      <c r="I75" s="31">
        <f t="shared" si="23"/>
        <v>18641882</v>
      </c>
      <c r="J75" s="31">
        <f t="shared" si="23"/>
        <v>0</v>
      </c>
      <c r="K75" s="31">
        <f t="shared" si="23"/>
        <v>388067</v>
      </c>
      <c r="L75" s="31">
        <f t="shared" si="23"/>
        <v>0</v>
      </c>
      <c r="M75" s="31">
        <f t="shared" si="23"/>
        <v>451565</v>
      </c>
      <c r="N75" s="38">
        <f t="shared" si="23"/>
        <v>32921570</v>
      </c>
      <c r="O75" s="244">
        <v>31614931</v>
      </c>
      <c r="P75" s="58"/>
    </row>
    <row r="76" spans="1:76" s="2" customFormat="1" ht="15.75" customHeight="1">
      <c r="A76" s="39">
        <v>20</v>
      </c>
      <c r="B76" s="51" t="s">
        <v>74</v>
      </c>
      <c r="C76" s="51">
        <f aca="true" t="shared" si="24" ref="C76:N77">C24-C50</f>
        <v>988067</v>
      </c>
      <c r="D76" s="51">
        <f t="shared" si="24"/>
        <v>0</v>
      </c>
      <c r="E76" s="51">
        <f t="shared" si="24"/>
        <v>272435</v>
      </c>
      <c r="F76" s="51">
        <f t="shared" si="24"/>
        <v>325737</v>
      </c>
      <c r="G76" s="51">
        <f t="shared" si="24"/>
        <v>61707</v>
      </c>
      <c r="H76" s="51">
        <f t="shared" si="24"/>
        <v>1356513</v>
      </c>
      <c r="I76" s="51">
        <f t="shared" si="24"/>
        <v>5282978</v>
      </c>
      <c r="J76" s="51">
        <f t="shared" si="24"/>
        <v>135708</v>
      </c>
      <c r="K76" s="51">
        <f t="shared" si="24"/>
        <v>1384573</v>
      </c>
      <c r="L76" s="51">
        <f t="shared" si="24"/>
        <v>0</v>
      </c>
      <c r="M76" s="51">
        <f t="shared" si="24"/>
        <v>743637</v>
      </c>
      <c r="N76" s="130">
        <f t="shared" si="24"/>
        <v>10551355</v>
      </c>
      <c r="O76" s="245">
        <v>6759999.289999999</v>
      </c>
      <c r="P76" s="58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</row>
    <row r="77" spans="1:76" s="2" customFormat="1" ht="15.75" customHeight="1" thickBot="1">
      <c r="A77" s="39">
        <v>21</v>
      </c>
      <c r="B77" s="31" t="s">
        <v>118</v>
      </c>
      <c r="C77" s="51">
        <f t="shared" si="24"/>
        <v>579729</v>
      </c>
      <c r="D77" s="51">
        <f t="shared" si="24"/>
        <v>265960</v>
      </c>
      <c r="E77" s="51">
        <f t="shared" si="24"/>
        <v>73976</v>
      </c>
      <c r="F77" s="51">
        <f t="shared" si="24"/>
        <v>646417</v>
      </c>
      <c r="G77" s="51">
        <f t="shared" si="24"/>
        <v>124170</v>
      </c>
      <c r="H77" s="51">
        <f t="shared" si="24"/>
        <v>323303</v>
      </c>
      <c r="I77" s="51">
        <f t="shared" si="24"/>
        <v>1510250</v>
      </c>
      <c r="J77" s="51">
        <f t="shared" si="24"/>
        <v>43817</v>
      </c>
      <c r="K77" s="51">
        <f t="shared" si="24"/>
        <v>321363</v>
      </c>
      <c r="L77" s="51">
        <f t="shared" si="24"/>
        <v>0</v>
      </c>
      <c r="M77" s="51">
        <f t="shared" si="24"/>
        <v>992</v>
      </c>
      <c r="N77" s="130">
        <f t="shared" si="24"/>
        <v>3889977</v>
      </c>
      <c r="O77" s="273">
        <v>34720.459</v>
      </c>
      <c r="P77" s="58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</row>
    <row r="78" spans="1:76" s="2" customFormat="1" ht="15.75" customHeight="1">
      <c r="A78" s="133"/>
      <c r="B78" s="134" t="s">
        <v>10</v>
      </c>
      <c r="C78" s="134">
        <f>SUM(C57:C77)</f>
        <v>26491923.848300405</v>
      </c>
      <c r="D78" s="134">
        <f aca="true" t="shared" si="25" ref="D78:O78">SUM(D57:D77)</f>
        <v>6219664.00341568</v>
      </c>
      <c r="E78" s="134">
        <f t="shared" si="25"/>
        <v>30740749.115492437</v>
      </c>
      <c r="F78" s="134">
        <f t="shared" si="25"/>
        <v>7300866.210050644</v>
      </c>
      <c r="G78" s="134">
        <f t="shared" si="25"/>
        <v>4414612.4726166</v>
      </c>
      <c r="H78" s="134">
        <f t="shared" si="25"/>
        <v>12141142.845588189</v>
      </c>
      <c r="I78" s="134">
        <f t="shared" si="25"/>
        <v>130927603.66535155</v>
      </c>
      <c r="J78" s="134">
        <f t="shared" si="25"/>
        <v>3633568.668917282</v>
      </c>
      <c r="K78" s="134">
        <f t="shared" si="25"/>
        <v>5020533.481643235</v>
      </c>
      <c r="L78" s="134">
        <f t="shared" si="25"/>
        <v>71324434</v>
      </c>
      <c r="M78" s="134">
        <f t="shared" si="25"/>
        <v>45924770.15692619</v>
      </c>
      <c r="N78" s="134">
        <f>SUM(N57:N77)</f>
        <v>344139868.4683022</v>
      </c>
      <c r="O78" s="134">
        <f t="shared" si="25"/>
        <v>313047206.99600005</v>
      </c>
      <c r="P78" s="58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</row>
    <row r="84" ht="15.75" customHeight="1">
      <c r="E84" s="34" t="s">
        <v>132</v>
      </c>
    </row>
    <row r="85" spans="1:16" ht="15.75" customHeight="1" thickBot="1">
      <c r="A85" s="36" t="s">
        <v>85</v>
      </c>
      <c r="B85" s="37" t="s">
        <v>0</v>
      </c>
      <c r="C85" s="37" t="s">
        <v>11</v>
      </c>
      <c r="D85" s="37" t="s">
        <v>14</v>
      </c>
      <c r="E85" s="37" t="s">
        <v>16</v>
      </c>
      <c r="F85" s="37" t="s">
        <v>13</v>
      </c>
      <c r="G85" s="37" t="s">
        <v>48</v>
      </c>
      <c r="H85" s="37" t="s">
        <v>49</v>
      </c>
      <c r="I85" s="37" t="s">
        <v>12</v>
      </c>
      <c r="J85" s="37" t="s">
        <v>17</v>
      </c>
      <c r="K85" s="37" t="s">
        <v>15</v>
      </c>
      <c r="L85" s="37" t="s">
        <v>66</v>
      </c>
      <c r="M85" s="56" t="s">
        <v>18</v>
      </c>
      <c r="N85" s="299" t="s">
        <v>127</v>
      </c>
      <c r="O85" s="45" t="s">
        <v>122</v>
      </c>
      <c r="P85" s="45"/>
    </row>
    <row r="86" spans="1:16" ht="15.75" customHeight="1">
      <c r="A86" s="39">
        <v>1</v>
      </c>
      <c r="B86" s="31" t="s">
        <v>1</v>
      </c>
      <c r="C86" s="47">
        <f aca="true" t="shared" si="26" ref="C86:N86">_xlfn.IFERROR(((C31/C5))*100," ")</f>
        <v>90.08273084830645</v>
      </c>
      <c r="D86" s="47">
        <f t="shared" si="26"/>
        <v>61.413825303485346</v>
      </c>
      <c r="E86" s="47">
        <f t="shared" si="26"/>
        <v>43.43511323700433</v>
      </c>
      <c r="F86" s="47">
        <f t="shared" si="26"/>
        <v>43.51244864181688</v>
      </c>
      <c r="G86" s="47">
        <f t="shared" si="26"/>
        <v>69.70824439438175</v>
      </c>
      <c r="H86" s="47">
        <f t="shared" si="26"/>
        <v>83.0829399010497</v>
      </c>
      <c r="I86" s="47">
        <f t="shared" si="26"/>
        <v>1.2544136088082434</v>
      </c>
      <c r="J86" s="47">
        <f t="shared" si="26"/>
        <v>74.87416761569612</v>
      </c>
      <c r="K86" s="47">
        <f t="shared" si="26"/>
        <v>105.71902470153273</v>
      </c>
      <c r="L86" s="47">
        <f t="shared" si="26"/>
        <v>66.65189443232093</v>
      </c>
      <c r="M86" s="47">
        <f t="shared" si="26"/>
        <v>55.67746351862428</v>
      </c>
      <c r="N86" s="129">
        <f t="shared" si="26"/>
        <v>63.7064235551925</v>
      </c>
      <c r="O86" s="48">
        <f aca="true" t="shared" si="27" ref="O86:O105">((O31/O5))*100</f>
        <v>65.98816807228019</v>
      </c>
      <c r="P86" s="251"/>
    </row>
    <row r="87" spans="1:16" ht="15.75" customHeight="1">
      <c r="A87" s="39">
        <v>2</v>
      </c>
      <c r="B87" s="31" t="s">
        <v>56</v>
      </c>
      <c r="C87" s="47">
        <f aca="true" t="shared" si="28" ref="C87:N87">_xlfn.IFERROR(((C32/C6))*100," ")</f>
        <v>78.76287486484948</v>
      </c>
      <c r="D87" s="47">
        <f t="shared" si="28"/>
        <v>75.93159315931594</v>
      </c>
      <c r="E87" s="47" t="str">
        <f t="shared" si="28"/>
        <v> </v>
      </c>
      <c r="F87" s="47" t="str">
        <f t="shared" si="28"/>
        <v> </v>
      </c>
      <c r="G87" s="47">
        <f t="shared" si="28"/>
        <v>75.96562511236561</v>
      </c>
      <c r="H87" s="47">
        <f t="shared" si="28"/>
        <v>75.05505685989155</v>
      </c>
      <c r="I87" s="47" t="str">
        <f t="shared" si="28"/>
        <v> </v>
      </c>
      <c r="J87" s="47" t="str">
        <f t="shared" si="28"/>
        <v> </v>
      </c>
      <c r="K87" s="47" t="str">
        <f t="shared" si="28"/>
        <v> </v>
      </c>
      <c r="L87" s="47" t="str">
        <f t="shared" si="28"/>
        <v> </v>
      </c>
      <c r="M87" s="47">
        <f t="shared" si="28"/>
        <v>75.93009300930092</v>
      </c>
      <c r="N87" s="129">
        <f t="shared" si="28"/>
        <v>75.91300307264675</v>
      </c>
      <c r="O87" s="48" t="e">
        <f t="shared" si="27"/>
        <v>#DIV/0!</v>
      </c>
      <c r="P87" s="251"/>
    </row>
    <row r="88" spans="1:16" ht="15.75" customHeight="1">
      <c r="A88" s="39">
        <v>3</v>
      </c>
      <c r="B88" s="31" t="s">
        <v>2</v>
      </c>
      <c r="C88" s="47">
        <f aca="true" t="shared" si="29" ref="C88:N88">_xlfn.IFERROR(((C33/C7))*100," ")</f>
        <v>70.61244827049326</v>
      </c>
      <c r="D88" s="47">
        <f t="shared" si="29"/>
        <v>30.54575248441186</v>
      </c>
      <c r="E88" s="47">
        <f t="shared" si="29"/>
        <v>15.179687823754604</v>
      </c>
      <c r="F88" s="47">
        <f t="shared" si="29"/>
        <v>5.902322177843785</v>
      </c>
      <c r="G88" s="47">
        <f t="shared" si="29"/>
        <v>86.6247871304902</v>
      </c>
      <c r="H88" s="47">
        <f t="shared" si="29"/>
        <v>60.27168276514699</v>
      </c>
      <c r="I88" s="47">
        <f t="shared" si="29"/>
        <v>9.426928970802381</v>
      </c>
      <c r="J88" s="47" t="str">
        <f t="shared" si="29"/>
        <v> </v>
      </c>
      <c r="K88" s="47">
        <f t="shared" si="29"/>
        <v>77.00829501542069</v>
      </c>
      <c r="L88" s="47">
        <f t="shared" si="29"/>
        <v>0.8821856793484378</v>
      </c>
      <c r="M88" s="47">
        <f t="shared" si="29"/>
        <v>90.08427533223613</v>
      </c>
      <c r="N88" s="129">
        <f t="shared" si="29"/>
        <v>21.93201542856264</v>
      </c>
      <c r="O88" s="48">
        <f t="shared" si="27"/>
        <v>30.152837552606865</v>
      </c>
      <c r="P88" s="251"/>
    </row>
    <row r="89" spans="1:16" ht="15.75" customHeight="1">
      <c r="A89" s="39">
        <v>4</v>
      </c>
      <c r="B89" s="31" t="s">
        <v>83</v>
      </c>
      <c r="C89" s="47">
        <f aca="true" t="shared" si="30" ref="C89:N89">_xlfn.IFERROR(((C34/C8))*100," ")</f>
        <v>69.98485528826414</v>
      </c>
      <c r="D89" s="47">
        <f t="shared" si="30"/>
        <v>-0.7515497284546602</v>
      </c>
      <c r="E89" s="47">
        <f t="shared" si="30"/>
        <v>54.10130002476624</v>
      </c>
      <c r="F89" s="47">
        <f t="shared" si="30"/>
        <v>25.9477385979443</v>
      </c>
      <c r="G89" s="47">
        <f t="shared" si="30"/>
        <v>46.84972174274621</v>
      </c>
      <c r="H89" s="47">
        <f t="shared" si="30"/>
        <v>34.544785784325946</v>
      </c>
      <c r="I89" s="47">
        <f t="shared" si="30"/>
        <v>6.74229208106532</v>
      </c>
      <c r="J89" s="47">
        <f t="shared" si="30"/>
        <v>95.01149070058752</v>
      </c>
      <c r="K89" s="47">
        <f t="shared" si="30"/>
        <v>73.2497453098082</v>
      </c>
      <c r="L89" s="47" t="str">
        <f t="shared" si="30"/>
        <v> </v>
      </c>
      <c r="M89" s="47">
        <f t="shared" si="30"/>
        <v>30.69492858019333</v>
      </c>
      <c r="N89" s="129">
        <f t="shared" si="30"/>
        <v>41.286684197793846</v>
      </c>
      <c r="O89" s="48">
        <f t="shared" si="27"/>
        <v>47.435929878307434</v>
      </c>
      <c r="P89" s="251"/>
    </row>
    <row r="90" spans="1:16" ht="15.75" customHeight="1">
      <c r="A90" s="39">
        <v>5</v>
      </c>
      <c r="B90" s="31" t="s">
        <v>3</v>
      </c>
      <c r="C90" s="47">
        <f aca="true" t="shared" si="31" ref="C90:N90">_xlfn.IFERROR(((C35/C9))*100," ")</f>
        <v>96.57930221468186</v>
      </c>
      <c r="D90" s="47">
        <f t="shared" si="31"/>
        <v>88.73972102614088</v>
      </c>
      <c r="E90" s="47">
        <f t="shared" si="31"/>
        <v>96.01951144615526</v>
      </c>
      <c r="F90" s="47">
        <f t="shared" si="31"/>
        <v>92.57391599203723</v>
      </c>
      <c r="G90" s="47">
        <f t="shared" si="31"/>
        <v>61.95573018599928</v>
      </c>
      <c r="H90" s="47">
        <f t="shared" si="31"/>
        <v>76.39698459491666</v>
      </c>
      <c r="I90" s="47">
        <f t="shared" si="31"/>
        <v>13.724017620972251</v>
      </c>
      <c r="J90" s="47" t="str">
        <f t="shared" si="31"/>
        <v> </v>
      </c>
      <c r="K90" s="47">
        <f t="shared" si="31"/>
        <v>84.50433717108434</v>
      </c>
      <c r="L90" s="47" t="str">
        <f t="shared" si="31"/>
        <v> </v>
      </c>
      <c r="M90" s="47">
        <f t="shared" si="31"/>
        <v>97.7120961332235</v>
      </c>
      <c r="N90" s="129">
        <f t="shared" si="31"/>
        <v>75.72813595406387</v>
      </c>
      <c r="O90" s="48">
        <f t="shared" si="27"/>
        <v>76.2369856469984</v>
      </c>
      <c r="P90" s="251"/>
    </row>
    <row r="91" spans="1:16" ht="15.75" customHeight="1">
      <c r="A91" s="39">
        <v>6</v>
      </c>
      <c r="B91" s="45" t="s">
        <v>111</v>
      </c>
      <c r="C91" s="47">
        <f aca="true" t="shared" si="32" ref="C91:N91">_xlfn.IFERROR(((C36/C10))*100," ")</f>
        <v>66.5742379535757</v>
      </c>
      <c r="D91" s="47" t="str">
        <f t="shared" si="32"/>
        <v> </v>
      </c>
      <c r="E91" s="47">
        <f t="shared" si="32"/>
        <v>23.95386767475937</v>
      </c>
      <c r="F91" s="47" t="str">
        <f t="shared" si="32"/>
        <v> </v>
      </c>
      <c r="G91" s="47" t="str">
        <f t="shared" si="32"/>
        <v> </v>
      </c>
      <c r="H91" s="47">
        <f t="shared" si="32"/>
        <v>57.093086123233384</v>
      </c>
      <c r="I91" s="47">
        <f t="shared" si="32"/>
        <v>22.37931514549706</v>
      </c>
      <c r="J91" s="47" t="str">
        <f t="shared" si="32"/>
        <v> </v>
      </c>
      <c r="K91" s="47" t="str">
        <f t="shared" si="32"/>
        <v> </v>
      </c>
      <c r="L91" s="47" t="str">
        <f t="shared" si="32"/>
        <v> </v>
      </c>
      <c r="M91" s="47" t="str">
        <f t="shared" si="32"/>
        <v> </v>
      </c>
      <c r="N91" s="129">
        <f t="shared" si="32"/>
        <v>37.85264184771145</v>
      </c>
      <c r="O91" s="48">
        <f t="shared" si="27"/>
        <v>32.40222695473291</v>
      </c>
      <c r="P91" s="251"/>
    </row>
    <row r="92" spans="1:16" ht="15.75" customHeight="1">
      <c r="A92" s="39">
        <v>7</v>
      </c>
      <c r="B92" s="31" t="s">
        <v>7</v>
      </c>
      <c r="C92" s="47">
        <f aca="true" t="shared" si="33" ref="C92:N92">_xlfn.IFERROR(((C37/C11))*100," ")</f>
        <v>44.31481542599865</v>
      </c>
      <c r="D92" s="47">
        <f t="shared" si="33"/>
        <v>58.08675323461521</v>
      </c>
      <c r="E92" s="47">
        <f t="shared" si="33"/>
        <v>68.51724335595188</v>
      </c>
      <c r="F92" s="47">
        <f t="shared" si="33"/>
        <v>46.251510952889205</v>
      </c>
      <c r="G92" s="47">
        <f t="shared" si="33"/>
        <v>59.82747566219977</v>
      </c>
      <c r="H92" s="47">
        <f t="shared" si="33"/>
        <v>65.36004696284643</v>
      </c>
      <c r="I92" s="47">
        <f t="shared" si="33"/>
        <v>2.259492047576702</v>
      </c>
      <c r="J92" s="47">
        <f t="shared" si="33"/>
        <v>106.9289973085855</v>
      </c>
      <c r="K92" s="47">
        <f t="shared" si="33"/>
        <v>108.34769183527244</v>
      </c>
      <c r="L92" s="47">
        <f t="shared" si="33"/>
        <v>62.75585456413167</v>
      </c>
      <c r="M92" s="47">
        <f t="shared" si="33"/>
        <v>38.469042244437276</v>
      </c>
      <c r="N92" s="129">
        <f t="shared" si="33"/>
        <v>48.729727227606276</v>
      </c>
      <c r="O92" s="48">
        <f t="shared" si="27"/>
        <v>49.0894428445091</v>
      </c>
      <c r="P92" s="251"/>
    </row>
    <row r="93" spans="1:16" ht="15.75" customHeight="1">
      <c r="A93" s="39">
        <v>8</v>
      </c>
      <c r="B93" s="31" t="s">
        <v>19</v>
      </c>
      <c r="C93" s="47">
        <f aca="true" t="shared" si="34" ref="C93:N93">_xlfn.IFERROR(((C38/C12))*100," ")</f>
        <v>83.49248170928291</v>
      </c>
      <c r="D93" s="47">
        <f t="shared" si="34"/>
        <v>0</v>
      </c>
      <c r="E93" s="47">
        <f t="shared" si="34"/>
        <v>19.32887340631947</v>
      </c>
      <c r="F93" s="47">
        <f t="shared" si="34"/>
        <v>0</v>
      </c>
      <c r="G93" s="47">
        <f t="shared" si="34"/>
        <v>0</v>
      </c>
      <c r="H93" s="47">
        <f t="shared" si="34"/>
        <v>92.21444166983983</v>
      </c>
      <c r="I93" s="47">
        <f t="shared" si="34"/>
        <v>1.3143360772829351</v>
      </c>
      <c r="J93" s="47">
        <f t="shared" si="34"/>
        <v>46.49122838342917</v>
      </c>
      <c r="K93" s="47">
        <f t="shared" si="34"/>
        <v>76.99190872418889</v>
      </c>
      <c r="L93" s="47" t="str">
        <f t="shared" si="34"/>
        <v> </v>
      </c>
      <c r="M93" s="47">
        <f t="shared" si="34"/>
        <v>61.558817839650445</v>
      </c>
      <c r="N93" s="129">
        <f t="shared" si="34"/>
        <v>49.7013282129308</v>
      </c>
      <c r="O93" s="48">
        <f t="shared" si="27"/>
        <v>38.95516930331406</v>
      </c>
      <c r="P93" s="251"/>
    </row>
    <row r="94" spans="1:16" ht="15.75" customHeight="1">
      <c r="A94" s="39">
        <v>9</v>
      </c>
      <c r="B94" s="31" t="s">
        <v>8</v>
      </c>
      <c r="C94" s="47">
        <f aca="true" t="shared" si="35" ref="C94:N94">_xlfn.IFERROR(((C39/C13))*100," ")</f>
        <v>87.52594877521781</v>
      </c>
      <c r="D94" s="47" t="str">
        <f t="shared" si="35"/>
        <v> </v>
      </c>
      <c r="E94" s="47">
        <f t="shared" si="35"/>
        <v>89.59847943314743</v>
      </c>
      <c r="F94" s="47">
        <f t="shared" si="35"/>
        <v>0.6054731586844238</v>
      </c>
      <c r="G94" s="47">
        <f t="shared" si="35"/>
        <v>67.32767414118013</v>
      </c>
      <c r="H94" s="47">
        <f t="shared" si="35"/>
        <v>63.538738715072554</v>
      </c>
      <c r="I94" s="47">
        <f t="shared" si="35"/>
        <v>6.387571877049103</v>
      </c>
      <c r="J94" s="47">
        <f t="shared" si="35"/>
        <v>68.63021751910641</v>
      </c>
      <c r="K94" s="47">
        <f t="shared" si="35"/>
        <v>92.11717403790925</v>
      </c>
      <c r="L94" s="47" t="str">
        <f t="shared" si="35"/>
        <v> </v>
      </c>
      <c r="M94" s="47">
        <f t="shared" si="35"/>
        <v>67.64127221774349</v>
      </c>
      <c r="N94" s="129">
        <f t="shared" si="35"/>
        <v>45.94828472300222</v>
      </c>
      <c r="O94" s="48">
        <f t="shared" si="27"/>
        <v>43.411827449425864</v>
      </c>
      <c r="P94" s="251"/>
    </row>
    <row r="95" spans="1:16" ht="15.75" customHeight="1">
      <c r="A95" s="39">
        <v>10</v>
      </c>
      <c r="B95" s="31" t="s">
        <v>50</v>
      </c>
      <c r="C95" s="47">
        <f aca="true" t="shared" si="36" ref="C95:N95">_xlfn.IFERROR(((C40/C14))*100," ")</f>
        <v>32.225078475812</v>
      </c>
      <c r="D95" s="47">
        <f t="shared" si="36"/>
        <v>0</v>
      </c>
      <c r="E95" s="47">
        <f t="shared" si="36"/>
        <v>42.80180702842094</v>
      </c>
      <c r="F95" s="47" t="str">
        <f t="shared" si="36"/>
        <v> </v>
      </c>
      <c r="G95" s="47">
        <f t="shared" si="36"/>
        <v>0</v>
      </c>
      <c r="H95" s="47">
        <f t="shared" si="36"/>
        <v>19.615468189208833</v>
      </c>
      <c r="I95" s="47">
        <f t="shared" si="36"/>
        <v>4.38649651776441</v>
      </c>
      <c r="J95" s="47">
        <f t="shared" si="36"/>
        <v>55.33788012100066</v>
      </c>
      <c r="K95" s="47">
        <f t="shared" si="36"/>
        <v>0</v>
      </c>
      <c r="L95" s="47" t="str">
        <f t="shared" si="36"/>
        <v> </v>
      </c>
      <c r="M95" s="47">
        <f t="shared" si="36"/>
        <v>0</v>
      </c>
      <c r="N95" s="129">
        <f t="shared" si="36"/>
        <v>13.851588578577251</v>
      </c>
      <c r="O95" s="48">
        <f t="shared" si="27"/>
        <v>15.41921179388771</v>
      </c>
      <c r="P95" s="251"/>
    </row>
    <row r="96" spans="1:16" ht="15.75" customHeight="1">
      <c r="A96" s="39">
        <v>11</v>
      </c>
      <c r="B96" s="31" t="s">
        <v>4</v>
      </c>
      <c r="C96" s="47">
        <f aca="true" t="shared" si="37" ref="C96:N96">_xlfn.IFERROR(((C41/C15))*100," ")</f>
        <v>59.99815801974354</v>
      </c>
      <c r="D96" s="47">
        <f t="shared" si="37"/>
        <v>74.17511874979566</v>
      </c>
      <c r="E96" s="47">
        <f t="shared" si="37"/>
        <v>80.53056799069736</v>
      </c>
      <c r="F96" s="47">
        <f t="shared" si="37"/>
        <v>5.507509352899646</v>
      </c>
      <c r="G96" s="47">
        <f t="shared" si="37"/>
        <v>0</v>
      </c>
      <c r="H96" s="47">
        <f t="shared" si="37"/>
        <v>157.70680793798238</v>
      </c>
      <c r="I96" s="47">
        <f t="shared" si="37"/>
        <v>4.817439051506353</v>
      </c>
      <c r="J96" s="47">
        <f t="shared" si="37"/>
        <v>73.79700496089059</v>
      </c>
      <c r="K96" s="47">
        <f t="shared" si="37"/>
        <v>52.314449540023325</v>
      </c>
      <c r="L96" s="47" t="str">
        <f t="shared" si="37"/>
        <v> </v>
      </c>
      <c r="M96" s="47">
        <f t="shared" si="37"/>
        <v>79.53821956640603</v>
      </c>
      <c r="N96" s="129">
        <f t="shared" si="37"/>
        <v>19.635841688916226</v>
      </c>
      <c r="O96" s="48">
        <f t="shared" si="27"/>
        <v>15.433393449759599</v>
      </c>
      <c r="P96" s="251"/>
    </row>
    <row r="97" spans="1:16" ht="15.75" customHeight="1">
      <c r="A97" s="39">
        <v>12</v>
      </c>
      <c r="B97" s="31" t="s">
        <v>6</v>
      </c>
      <c r="C97" s="47" t="str">
        <f aca="true" t="shared" si="38" ref="C97:N97">_xlfn.IFERROR(((C42/C16))*100," ")</f>
        <v> </v>
      </c>
      <c r="D97" s="47" t="str">
        <f t="shared" si="38"/>
        <v> </v>
      </c>
      <c r="E97" s="47" t="str">
        <f t="shared" si="38"/>
        <v> </v>
      </c>
      <c r="F97" s="47" t="str">
        <f t="shared" si="38"/>
        <v> </v>
      </c>
      <c r="G97" s="47" t="str">
        <f t="shared" si="38"/>
        <v> </v>
      </c>
      <c r="H97" s="47" t="str">
        <f t="shared" si="38"/>
        <v> </v>
      </c>
      <c r="I97" s="47" t="str">
        <f t="shared" si="38"/>
        <v> </v>
      </c>
      <c r="J97" s="47" t="str">
        <f t="shared" si="38"/>
        <v> </v>
      </c>
      <c r="K97" s="47" t="str">
        <f t="shared" si="38"/>
        <v> </v>
      </c>
      <c r="L97" s="47" t="str">
        <f t="shared" si="38"/>
        <v> </v>
      </c>
      <c r="M97" s="47">
        <f t="shared" si="38"/>
        <v>36.19838769763077</v>
      </c>
      <c r="N97" s="129">
        <f t="shared" si="38"/>
        <v>36.19838769763077</v>
      </c>
      <c r="O97" s="48">
        <f t="shared" si="27"/>
        <v>32.88056532147895</v>
      </c>
      <c r="P97" s="251"/>
    </row>
    <row r="98" spans="1:16" ht="15.75" customHeight="1">
      <c r="A98" s="39">
        <v>13</v>
      </c>
      <c r="B98" s="31" t="s">
        <v>37</v>
      </c>
      <c r="C98" s="47">
        <f aca="true" t="shared" si="39" ref="C98:N98">_xlfn.IFERROR(((C43/C17))*100," ")</f>
        <v>67.22135677298638</v>
      </c>
      <c r="D98" s="47">
        <f t="shared" si="39"/>
        <v>22.529479543606197</v>
      </c>
      <c r="E98" s="47">
        <f t="shared" si="39"/>
        <v>6.745336113520197</v>
      </c>
      <c r="F98" s="47">
        <f t="shared" si="39"/>
        <v>6.527682512267266</v>
      </c>
      <c r="G98" s="47">
        <f t="shared" si="39"/>
        <v>14.247424983033666</v>
      </c>
      <c r="H98" s="47">
        <f t="shared" si="39"/>
        <v>40.45696935193092</v>
      </c>
      <c r="I98" s="47">
        <f t="shared" si="39"/>
        <v>14.280159047768764</v>
      </c>
      <c r="J98" s="47" t="str">
        <f t="shared" si="39"/>
        <v> </v>
      </c>
      <c r="K98" s="47">
        <f t="shared" si="39"/>
        <v>66.68978085215237</v>
      </c>
      <c r="L98" s="47" t="str">
        <f t="shared" si="39"/>
        <v> </v>
      </c>
      <c r="M98" s="47">
        <f t="shared" si="39"/>
        <v>12.72597306942741</v>
      </c>
      <c r="N98" s="129">
        <f t="shared" si="39"/>
        <v>32.0852844075471</v>
      </c>
      <c r="O98" s="48">
        <f t="shared" si="27"/>
        <v>34.8334881701209</v>
      </c>
      <c r="P98" s="251"/>
    </row>
    <row r="99" spans="1:16" ht="15.75" customHeight="1">
      <c r="A99" s="39">
        <v>14</v>
      </c>
      <c r="B99" s="31" t="s">
        <v>69</v>
      </c>
      <c r="C99" s="47">
        <f aca="true" t="shared" si="40" ref="C99:N99">_xlfn.IFERROR(((C44/C18))*100," ")</f>
        <v>76.5061732079935</v>
      </c>
      <c r="D99" s="47" t="str">
        <f t="shared" si="40"/>
        <v> </v>
      </c>
      <c r="E99" s="47" t="str">
        <f t="shared" si="40"/>
        <v> </v>
      </c>
      <c r="F99" s="47" t="str">
        <f t="shared" si="40"/>
        <v> </v>
      </c>
      <c r="G99" s="47">
        <f t="shared" si="40"/>
        <v>71.94987117753277</v>
      </c>
      <c r="H99" s="47">
        <f t="shared" si="40"/>
        <v>14.793272722281426</v>
      </c>
      <c r="I99" s="47">
        <f t="shared" si="40"/>
        <v>4.558230558920381</v>
      </c>
      <c r="J99" s="47">
        <f t="shared" si="40"/>
        <v>89.88894387636293</v>
      </c>
      <c r="K99" s="47">
        <f t="shared" si="40"/>
        <v>80.29345523539145</v>
      </c>
      <c r="L99" s="47" t="str">
        <f t="shared" si="40"/>
        <v> </v>
      </c>
      <c r="M99" s="47">
        <f t="shared" si="40"/>
        <v>20.4989929892626</v>
      </c>
      <c r="N99" s="129">
        <f t="shared" si="40"/>
        <v>37.95250117764929</v>
      </c>
      <c r="O99" s="48">
        <f t="shared" si="27"/>
        <v>39.85756434088516</v>
      </c>
      <c r="P99" s="251"/>
    </row>
    <row r="100" spans="1:16" ht="15.75" customHeight="1">
      <c r="A100" s="39">
        <v>15</v>
      </c>
      <c r="B100" s="31" t="s">
        <v>70</v>
      </c>
      <c r="C100" s="47" t="str">
        <f aca="true" t="shared" si="41" ref="C100:N100">_xlfn.IFERROR(((C45/C19))*100," ")</f>
        <v> </v>
      </c>
      <c r="D100" s="47" t="str">
        <f t="shared" si="41"/>
        <v> </v>
      </c>
      <c r="E100" s="47" t="str">
        <f t="shared" si="41"/>
        <v> </v>
      </c>
      <c r="F100" s="47" t="str">
        <f t="shared" si="41"/>
        <v> </v>
      </c>
      <c r="G100" s="47" t="str">
        <f t="shared" si="41"/>
        <v> </v>
      </c>
      <c r="H100" s="47" t="str">
        <f t="shared" si="41"/>
        <v> </v>
      </c>
      <c r="I100" s="47" t="str">
        <f t="shared" si="41"/>
        <v> </v>
      </c>
      <c r="J100" s="47" t="str">
        <f t="shared" si="41"/>
        <v> </v>
      </c>
      <c r="K100" s="47" t="str">
        <f t="shared" si="41"/>
        <v> </v>
      </c>
      <c r="L100" s="47" t="str">
        <f t="shared" si="41"/>
        <v> </v>
      </c>
      <c r="M100" s="47">
        <f t="shared" si="41"/>
        <v>54.07817978189875</v>
      </c>
      <c r="N100" s="129">
        <f t="shared" si="41"/>
        <v>54.07817978189875</v>
      </c>
      <c r="O100" s="48">
        <f t="shared" si="27"/>
        <v>17.948216764617385</v>
      </c>
      <c r="P100" s="251"/>
    </row>
    <row r="101" spans="1:16" ht="15.75" customHeight="1">
      <c r="A101" s="39">
        <v>16</v>
      </c>
      <c r="B101" s="31" t="s">
        <v>9</v>
      </c>
      <c r="C101" s="47">
        <f aca="true" t="shared" si="42" ref="C101:N101">_xlfn.IFERROR(((C46/C20))*100," ")</f>
        <v>61.335167378001756</v>
      </c>
      <c r="D101" s="47">
        <f t="shared" si="42"/>
        <v>25.176233635448135</v>
      </c>
      <c r="E101" s="47">
        <f t="shared" si="42"/>
        <v>13.579108084220668</v>
      </c>
      <c r="F101" s="47">
        <f t="shared" si="42"/>
        <v>0</v>
      </c>
      <c r="G101" s="47">
        <f t="shared" si="42"/>
        <v>0</v>
      </c>
      <c r="H101" s="47" t="str">
        <f t="shared" si="42"/>
        <v> </v>
      </c>
      <c r="I101" s="47">
        <f t="shared" si="42"/>
        <v>16.28493220255954</v>
      </c>
      <c r="J101" s="47" t="str">
        <f t="shared" si="42"/>
        <v> </v>
      </c>
      <c r="K101" s="47">
        <f t="shared" si="42"/>
        <v>40.58386371012547</v>
      </c>
      <c r="L101" s="47" t="str">
        <f t="shared" si="42"/>
        <v> </v>
      </c>
      <c r="M101" s="47">
        <f t="shared" si="42"/>
        <v>33.9750303050294</v>
      </c>
      <c r="N101" s="129">
        <f t="shared" si="42"/>
        <v>23.21008296607937</v>
      </c>
      <c r="O101" s="48">
        <f t="shared" si="27"/>
        <v>18.564893354231273</v>
      </c>
      <c r="P101" s="251"/>
    </row>
    <row r="102" spans="1:16" ht="15.75" customHeight="1">
      <c r="A102" s="39">
        <v>17</v>
      </c>
      <c r="B102" s="31" t="s">
        <v>51</v>
      </c>
      <c r="C102" s="47">
        <f aca="true" t="shared" si="43" ref="C102:N102">_xlfn.IFERROR(((C47/C21))*100," ")</f>
        <v>64.78035492357913</v>
      </c>
      <c r="D102" s="47" t="str">
        <f t="shared" si="43"/>
        <v> </v>
      </c>
      <c r="E102" s="47">
        <f t="shared" si="43"/>
        <v>0</v>
      </c>
      <c r="F102" s="47">
        <f t="shared" si="43"/>
        <v>0</v>
      </c>
      <c r="G102" s="47">
        <f t="shared" si="43"/>
        <v>0</v>
      </c>
      <c r="H102" s="47" t="str">
        <f t="shared" si="43"/>
        <v> </v>
      </c>
      <c r="I102" s="47">
        <f t="shared" si="43"/>
        <v>14.224369232509599</v>
      </c>
      <c r="J102" s="47">
        <f t="shared" si="43"/>
        <v>7.85946</v>
      </c>
      <c r="K102" s="47">
        <f t="shared" si="43"/>
        <v>0</v>
      </c>
      <c r="L102" s="47" t="str">
        <f t="shared" si="43"/>
        <v> </v>
      </c>
      <c r="M102" s="47">
        <f t="shared" si="43"/>
        <v>0</v>
      </c>
      <c r="N102" s="129">
        <f t="shared" si="43"/>
        <v>22.90670654149708</v>
      </c>
      <c r="O102" s="48">
        <f t="shared" si="27"/>
        <v>13.361711757257023</v>
      </c>
      <c r="P102" s="251"/>
    </row>
    <row r="103" spans="1:16" ht="15.75" customHeight="1">
      <c r="A103" s="39">
        <v>18</v>
      </c>
      <c r="B103" s="165" t="s">
        <v>128</v>
      </c>
      <c r="C103" s="47">
        <f aca="true" t="shared" si="44" ref="C103:N103">_xlfn.IFERROR(((C48/C22))*100," ")</f>
        <v>69.69924928844529</v>
      </c>
      <c r="D103" s="47" t="str">
        <f t="shared" si="44"/>
        <v> </v>
      </c>
      <c r="E103" s="47" t="str">
        <f t="shared" si="44"/>
        <v> </v>
      </c>
      <c r="F103" s="47">
        <f t="shared" si="44"/>
        <v>9.426442941262732</v>
      </c>
      <c r="G103" s="47">
        <f t="shared" si="44"/>
        <v>6.754672025767257</v>
      </c>
      <c r="H103" s="47">
        <f t="shared" si="44"/>
        <v>79.0398881527622</v>
      </c>
      <c r="I103" s="47">
        <f t="shared" si="44"/>
        <v>8.580820178773335</v>
      </c>
      <c r="J103" s="47">
        <f t="shared" si="44"/>
        <v>50.827846133277454</v>
      </c>
      <c r="K103" s="47">
        <f t="shared" si="44"/>
        <v>81.10170256744996</v>
      </c>
      <c r="L103" s="47" t="str">
        <f t="shared" si="44"/>
        <v> </v>
      </c>
      <c r="M103" s="47">
        <f t="shared" si="44"/>
        <v>42.43112667260074</v>
      </c>
      <c r="N103" s="129">
        <f t="shared" si="44"/>
        <v>46.59004219852904</v>
      </c>
      <c r="O103" s="48">
        <f t="shared" si="27"/>
        <v>41.985189043024086</v>
      </c>
      <c r="P103" s="251"/>
    </row>
    <row r="104" spans="1:16" s="23" customFormat="1" ht="15.75" customHeight="1">
      <c r="A104" s="39">
        <v>19</v>
      </c>
      <c r="B104" s="31" t="s">
        <v>53</v>
      </c>
      <c r="C104" s="47">
        <f aca="true" t="shared" si="45" ref="C104:N104">_xlfn.IFERROR(((C49/C23))*100," ")</f>
        <v>68.86776790173126</v>
      </c>
      <c r="D104" s="47">
        <f t="shared" si="45"/>
        <v>3.7936816076221973</v>
      </c>
      <c r="E104" s="47">
        <f t="shared" si="45"/>
        <v>45.89276020777389</v>
      </c>
      <c r="F104" s="47">
        <f t="shared" si="45"/>
        <v>28.697552919880586</v>
      </c>
      <c r="G104" s="47">
        <f t="shared" si="45"/>
        <v>61.752039327434105</v>
      </c>
      <c r="H104" s="47">
        <f t="shared" si="45"/>
        <v>95.74830369955617</v>
      </c>
      <c r="I104" s="47">
        <f t="shared" si="45"/>
        <v>10.725309491862792</v>
      </c>
      <c r="J104" s="47" t="str">
        <f t="shared" si="45"/>
        <v> </v>
      </c>
      <c r="K104" s="47">
        <f t="shared" si="45"/>
        <v>92.9257081501642</v>
      </c>
      <c r="L104" s="47" t="str">
        <f t="shared" si="45"/>
        <v> </v>
      </c>
      <c r="M104" s="47">
        <f t="shared" si="45"/>
        <v>66.10221020810923</v>
      </c>
      <c r="N104" s="129">
        <f t="shared" si="45"/>
        <v>47.77354336737943</v>
      </c>
      <c r="O104" s="48">
        <f t="shared" si="27"/>
        <v>44.34418140340251</v>
      </c>
      <c r="P104" s="251"/>
    </row>
    <row r="105" spans="1:76" s="2" customFormat="1" ht="15.75" customHeight="1">
      <c r="A105" s="39">
        <v>20</v>
      </c>
      <c r="B105" s="31" t="s">
        <v>74</v>
      </c>
      <c r="C105" s="47">
        <f>_xlfn.IFERROR(((C50/C24))*100," ")</f>
        <v>69.13588846691361</v>
      </c>
      <c r="D105" s="47" t="str">
        <f aca="true" t="shared" si="46" ref="D105:N105">_xlfn.IFERROR(((D50/D24))*100," ")</f>
        <v> </v>
      </c>
      <c r="E105" s="47">
        <f t="shared" si="46"/>
        <v>66.1178732618053</v>
      </c>
      <c r="F105" s="47">
        <f t="shared" si="46"/>
        <v>25.543616153165694</v>
      </c>
      <c r="G105" s="47">
        <f t="shared" si="46"/>
        <v>21.86020007597822</v>
      </c>
      <c r="H105" s="47">
        <f t="shared" si="46"/>
        <v>33.23327033252614</v>
      </c>
      <c r="I105" s="47">
        <f t="shared" si="46"/>
        <v>4.616297916156239</v>
      </c>
      <c r="J105" s="47">
        <f t="shared" si="46"/>
        <v>-117.84733927281484</v>
      </c>
      <c r="K105" s="47">
        <f t="shared" si="46"/>
        <v>10.061066907270671</v>
      </c>
      <c r="L105" s="47" t="str">
        <f t="shared" si="46"/>
        <v> </v>
      </c>
      <c r="M105" s="47">
        <f t="shared" si="46"/>
        <v>52.62272658060267</v>
      </c>
      <c r="N105" s="47">
        <f t="shared" si="46"/>
        <v>30.872480363426476</v>
      </c>
      <c r="O105" s="48">
        <f t="shared" si="27"/>
        <v>46.04685168980321</v>
      </c>
      <c r="P105" s="251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0"/>
      <c r="BL105" s="160"/>
      <c r="BM105" s="160"/>
      <c r="BN105" s="160"/>
      <c r="BO105" s="160"/>
      <c r="BP105" s="160"/>
      <c r="BQ105" s="160"/>
      <c r="BR105" s="160"/>
      <c r="BS105" s="160"/>
      <c r="BT105" s="160"/>
      <c r="BU105" s="160"/>
      <c r="BV105" s="160"/>
      <c r="BW105" s="160"/>
      <c r="BX105" s="160"/>
    </row>
    <row r="106" spans="1:76" s="2" customFormat="1" ht="15.75" customHeight="1">
      <c r="A106" s="39">
        <v>21</v>
      </c>
      <c r="B106" s="31" t="s">
        <v>118</v>
      </c>
      <c r="C106" s="47">
        <f>_xlfn.IFERROR(((C51/C25))*100," ")</f>
        <v>44.659905018733745</v>
      </c>
      <c r="D106" s="47">
        <f aca="true" t="shared" si="47" ref="D106:O106">_xlfn.IFERROR(((D51/D25))*100," ")</f>
        <v>46.35026042191982</v>
      </c>
      <c r="E106" s="47">
        <f t="shared" si="47"/>
        <v>29.51645943499595</v>
      </c>
      <c r="F106" s="47">
        <f t="shared" si="47"/>
        <v>7.657220732580115</v>
      </c>
      <c r="G106" s="47">
        <f t="shared" si="47"/>
        <v>22.859965086011417</v>
      </c>
      <c r="H106" s="47">
        <f t="shared" si="47"/>
        <v>46.12712081876685</v>
      </c>
      <c r="I106" s="47">
        <f t="shared" si="47"/>
        <v>1.2477988770267823</v>
      </c>
      <c r="J106" s="47">
        <f t="shared" si="47"/>
        <v>45.691728018641086</v>
      </c>
      <c r="K106" s="47">
        <f t="shared" si="47"/>
        <v>23.105102590177665</v>
      </c>
      <c r="L106" s="47" t="str">
        <f t="shared" si="47"/>
        <v> </v>
      </c>
      <c r="M106" s="47">
        <f t="shared" si="47"/>
        <v>-561.3333333333334</v>
      </c>
      <c r="N106" s="47">
        <f t="shared" si="47"/>
        <v>24.282126077039596</v>
      </c>
      <c r="O106" s="47">
        <f t="shared" si="47"/>
        <v>7.165687458541618</v>
      </c>
      <c r="P106" s="251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0"/>
      <c r="BL106" s="160"/>
      <c r="BM106" s="160"/>
      <c r="BN106" s="160"/>
      <c r="BO106" s="160"/>
      <c r="BP106" s="160"/>
      <c r="BQ106" s="160"/>
      <c r="BR106" s="160"/>
      <c r="BS106" s="160"/>
      <c r="BT106" s="160"/>
      <c r="BU106" s="160"/>
      <c r="BV106" s="160"/>
      <c r="BW106" s="160"/>
      <c r="BX106" s="160"/>
    </row>
    <row r="107" spans="1:16" ht="15.75" customHeight="1">
      <c r="A107" s="42"/>
      <c r="B107" s="43" t="s">
        <v>10</v>
      </c>
      <c r="C107" s="129">
        <f>_xlfn.IFERROR(((C52/C26))*100," ")</f>
        <v>77.18488123573704</v>
      </c>
      <c r="D107" s="129">
        <f aca="true" t="shared" si="48" ref="D107:N107">_xlfn.IFERROR(((D52/D26))*100," ")</f>
        <v>33.8705722586079</v>
      </c>
      <c r="E107" s="129">
        <f t="shared" si="48"/>
        <v>40.79402450473187</v>
      </c>
      <c r="F107" s="129">
        <f t="shared" si="48"/>
        <v>34.47705739275251</v>
      </c>
      <c r="G107" s="129">
        <f t="shared" si="48"/>
        <v>68.4314171520006</v>
      </c>
      <c r="H107" s="129">
        <f t="shared" si="48"/>
        <v>69.68985936032236</v>
      </c>
      <c r="I107" s="129">
        <f t="shared" si="48"/>
        <v>7.213480759810518</v>
      </c>
      <c r="J107" s="129">
        <f t="shared" si="48"/>
        <v>73.94465849870102</v>
      </c>
      <c r="K107" s="129">
        <f t="shared" si="48"/>
        <v>84.29287294124957</v>
      </c>
      <c r="L107" s="129">
        <f t="shared" si="48"/>
        <v>33.99145096206569</v>
      </c>
      <c r="M107" s="129">
        <f t="shared" si="48"/>
        <v>41.933147521437455</v>
      </c>
      <c r="N107" s="129">
        <f t="shared" si="48"/>
        <v>44.20412777705345</v>
      </c>
      <c r="O107" s="48">
        <f>((O52/O26))*100</f>
        <v>45.07607485463888</v>
      </c>
      <c r="P107" s="251"/>
    </row>
    <row r="111" ht="15.75" customHeight="1">
      <c r="E111" s="34" t="s">
        <v>133</v>
      </c>
    </row>
    <row r="112" spans="1:16" ht="15.75" customHeight="1" thickBot="1">
      <c r="A112" s="36" t="s">
        <v>85</v>
      </c>
      <c r="B112" s="37" t="s">
        <v>0</v>
      </c>
      <c r="C112" s="37" t="s">
        <v>11</v>
      </c>
      <c r="D112" s="37" t="s">
        <v>14</v>
      </c>
      <c r="E112" s="37" t="s">
        <v>16</v>
      </c>
      <c r="F112" s="37" t="s">
        <v>13</v>
      </c>
      <c r="G112" s="37" t="s">
        <v>48</v>
      </c>
      <c r="H112" s="37" t="s">
        <v>49</v>
      </c>
      <c r="I112" s="37" t="s">
        <v>12</v>
      </c>
      <c r="J112" s="37" t="s">
        <v>17</v>
      </c>
      <c r="K112" s="37" t="s">
        <v>15</v>
      </c>
      <c r="L112" s="37" t="s">
        <v>66</v>
      </c>
      <c r="M112" s="56" t="s">
        <v>18</v>
      </c>
      <c r="N112" s="299" t="s">
        <v>127</v>
      </c>
      <c r="O112" s="45" t="s">
        <v>122</v>
      </c>
      <c r="P112" s="45"/>
    </row>
    <row r="113" spans="1:16" ht="15.75" customHeight="1">
      <c r="A113" s="39">
        <v>1</v>
      </c>
      <c r="B113" s="31" t="s">
        <v>1</v>
      </c>
      <c r="C113" s="47">
        <f aca="true" t="shared" si="49" ref="C113:O113">_xlfn.IFERROR(((C57/C5))*100," ")</f>
        <v>9.917269151693542</v>
      </c>
      <c r="D113" s="47">
        <f t="shared" si="49"/>
        <v>38.586174696514654</v>
      </c>
      <c r="E113" s="47">
        <f t="shared" si="49"/>
        <v>56.56488676299567</v>
      </c>
      <c r="F113" s="47">
        <f t="shared" si="49"/>
        <v>56.48755135818312</v>
      </c>
      <c r="G113" s="47">
        <f t="shared" si="49"/>
        <v>30.291755605618253</v>
      </c>
      <c r="H113" s="47">
        <f t="shared" si="49"/>
        <v>16.917060098950294</v>
      </c>
      <c r="I113" s="47">
        <f t="shared" si="49"/>
        <v>98.74558639119175</v>
      </c>
      <c r="J113" s="47">
        <f t="shared" si="49"/>
        <v>25.125832384303877</v>
      </c>
      <c r="K113" s="47">
        <f t="shared" si="49"/>
        <v>-5.7190247015327405</v>
      </c>
      <c r="L113" s="47">
        <f t="shared" si="49"/>
        <v>33.348105567679056</v>
      </c>
      <c r="M113" s="47">
        <f t="shared" si="49"/>
        <v>44.322536481375714</v>
      </c>
      <c r="N113" s="129">
        <f t="shared" si="49"/>
        <v>36.2935764448075</v>
      </c>
      <c r="O113" s="129">
        <f t="shared" si="49"/>
        <v>34.0118319277198</v>
      </c>
      <c r="P113" s="252"/>
    </row>
    <row r="114" spans="1:16" ht="15.75" customHeight="1">
      <c r="A114" s="39">
        <v>2</v>
      </c>
      <c r="B114" s="31" t="s">
        <v>56</v>
      </c>
      <c r="C114" s="47">
        <f aca="true" t="shared" si="50" ref="C114:O114">_xlfn.IFERROR(((C58/C6))*100," ")</f>
        <v>21.237125135150514</v>
      </c>
      <c r="D114" s="47">
        <f t="shared" si="50"/>
        <v>24.068406840684066</v>
      </c>
      <c r="E114" s="47" t="str">
        <f t="shared" si="50"/>
        <v> </v>
      </c>
      <c r="F114" s="47" t="str">
        <f t="shared" si="50"/>
        <v> </v>
      </c>
      <c r="G114" s="47">
        <f t="shared" si="50"/>
        <v>24.03437488763439</v>
      </c>
      <c r="H114" s="47">
        <f t="shared" si="50"/>
        <v>24.94494314010844</v>
      </c>
      <c r="I114" s="47" t="str">
        <f t="shared" si="50"/>
        <v> </v>
      </c>
      <c r="J114" s="47" t="str">
        <f t="shared" si="50"/>
        <v> </v>
      </c>
      <c r="K114" s="47" t="str">
        <f t="shared" si="50"/>
        <v> </v>
      </c>
      <c r="L114" s="47" t="str">
        <f t="shared" si="50"/>
        <v> </v>
      </c>
      <c r="M114" s="47">
        <f t="shared" si="50"/>
        <v>24.06990699069907</v>
      </c>
      <c r="N114" s="129">
        <f t="shared" si="50"/>
        <v>24.086996927353255</v>
      </c>
      <c r="O114" s="129" t="str">
        <f t="shared" si="50"/>
        <v> </v>
      </c>
      <c r="P114" s="252"/>
    </row>
    <row r="115" spans="1:16" ht="15.75" customHeight="1">
      <c r="A115" s="39">
        <v>3</v>
      </c>
      <c r="B115" s="31" t="s">
        <v>2</v>
      </c>
      <c r="C115" s="47">
        <f aca="true" t="shared" si="51" ref="C115:O115">_xlfn.IFERROR(((C59/C7))*100," ")</f>
        <v>29.387551729506743</v>
      </c>
      <c r="D115" s="47">
        <f t="shared" si="51"/>
        <v>69.45424751558814</v>
      </c>
      <c r="E115" s="47">
        <f t="shared" si="51"/>
        <v>84.8203121762454</v>
      </c>
      <c r="F115" s="47">
        <f t="shared" si="51"/>
        <v>94.09767782215621</v>
      </c>
      <c r="G115" s="47">
        <f t="shared" si="51"/>
        <v>13.37521286950979</v>
      </c>
      <c r="H115" s="47">
        <f t="shared" si="51"/>
        <v>39.72831723485301</v>
      </c>
      <c r="I115" s="47">
        <f t="shared" si="51"/>
        <v>90.57307102919762</v>
      </c>
      <c r="J115" s="47" t="str">
        <f t="shared" si="51"/>
        <v> </v>
      </c>
      <c r="K115" s="47">
        <f t="shared" si="51"/>
        <v>22.99170498457932</v>
      </c>
      <c r="L115" s="47">
        <f t="shared" si="51"/>
        <v>99.11781432065156</v>
      </c>
      <c r="M115" s="47">
        <f t="shared" si="51"/>
        <v>9.915724667763865</v>
      </c>
      <c r="N115" s="129">
        <f t="shared" si="51"/>
        <v>78.06798457143736</v>
      </c>
      <c r="O115" s="129">
        <f t="shared" si="51"/>
        <v>69.84716244739315</v>
      </c>
      <c r="P115" s="252"/>
    </row>
    <row r="116" spans="1:16" ht="15.75" customHeight="1">
      <c r="A116" s="39">
        <v>4</v>
      </c>
      <c r="B116" s="31" t="s">
        <v>83</v>
      </c>
      <c r="C116" s="47">
        <f aca="true" t="shared" si="52" ref="C116:O116">_xlfn.IFERROR(((C60/C8))*100," ")</f>
        <v>30.015144711735854</v>
      </c>
      <c r="D116" s="47">
        <f t="shared" si="52"/>
        <v>100.75154972845466</v>
      </c>
      <c r="E116" s="47">
        <f t="shared" si="52"/>
        <v>45.89869997523376</v>
      </c>
      <c r="F116" s="47">
        <f t="shared" si="52"/>
        <v>74.05226140205569</v>
      </c>
      <c r="G116" s="47">
        <f t="shared" si="52"/>
        <v>53.15027825725379</v>
      </c>
      <c r="H116" s="47">
        <f t="shared" si="52"/>
        <v>65.45521421567406</v>
      </c>
      <c r="I116" s="47">
        <f t="shared" si="52"/>
        <v>93.25770791893468</v>
      </c>
      <c r="J116" s="47">
        <f t="shared" si="52"/>
        <v>4.9885092994124784</v>
      </c>
      <c r="K116" s="47">
        <f t="shared" si="52"/>
        <v>26.750254690191806</v>
      </c>
      <c r="L116" s="47" t="str">
        <f t="shared" si="52"/>
        <v> </v>
      </c>
      <c r="M116" s="47">
        <f t="shared" si="52"/>
        <v>69.30507141980668</v>
      </c>
      <c r="N116" s="129">
        <f t="shared" si="52"/>
        <v>58.713315802206154</v>
      </c>
      <c r="O116" s="129">
        <f t="shared" si="52"/>
        <v>52.564070121692566</v>
      </c>
      <c r="P116" s="252"/>
    </row>
    <row r="117" spans="1:16" ht="15.75" customHeight="1">
      <c r="A117" s="39">
        <v>5</v>
      </c>
      <c r="B117" s="31" t="s">
        <v>3</v>
      </c>
      <c r="C117" s="47">
        <f aca="true" t="shared" si="53" ref="C117:O117">_xlfn.IFERROR(((C61/C9))*100," ")</f>
        <v>3.4206977853181373</v>
      </c>
      <c r="D117" s="47">
        <f t="shared" si="53"/>
        <v>11.260278973859112</v>
      </c>
      <c r="E117" s="47">
        <f t="shared" si="53"/>
        <v>3.980488553844726</v>
      </c>
      <c r="F117" s="47">
        <f t="shared" si="53"/>
        <v>7.42608400796277</v>
      </c>
      <c r="G117" s="47">
        <f t="shared" si="53"/>
        <v>38.04426981400073</v>
      </c>
      <c r="H117" s="47">
        <f t="shared" si="53"/>
        <v>23.60301540508334</v>
      </c>
      <c r="I117" s="47">
        <f t="shared" si="53"/>
        <v>86.27598237902775</v>
      </c>
      <c r="J117" s="47" t="str">
        <f t="shared" si="53"/>
        <v> </v>
      </c>
      <c r="K117" s="47">
        <f t="shared" si="53"/>
        <v>15.495662828915652</v>
      </c>
      <c r="L117" s="47" t="str">
        <f t="shared" si="53"/>
        <v> </v>
      </c>
      <c r="M117" s="47">
        <f t="shared" si="53"/>
        <v>2.2879038667765004</v>
      </c>
      <c r="N117" s="129">
        <f t="shared" si="53"/>
        <v>24.271864045936137</v>
      </c>
      <c r="O117" s="129">
        <f t="shared" si="53"/>
        <v>23.763014353001598</v>
      </c>
      <c r="P117" s="252"/>
    </row>
    <row r="118" spans="1:16" ht="15.75" customHeight="1">
      <c r="A118" s="39">
        <v>6</v>
      </c>
      <c r="B118" s="45" t="s">
        <v>111</v>
      </c>
      <c r="C118" s="47">
        <f aca="true" t="shared" si="54" ref="C118:O118">_xlfn.IFERROR(((C62/C10))*100," ")</f>
        <v>33.425762046424296</v>
      </c>
      <c r="D118" s="47" t="str">
        <f t="shared" si="54"/>
        <v> </v>
      </c>
      <c r="E118" s="47">
        <f t="shared" si="54"/>
        <v>76.04613232524063</v>
      </c>
      <c r="F118" s="47" t="str">
        <f t="shared" si="54"/>
        <v> </v>
      </c>
      <c r="G118" s="47" t="str">
        <f t="shared" si="54"/>
        <v> </v>
      </c>
      <c r="H118" s="47">
        <f t="shared" si="54"/>
        <v>42.906913876766616</v>
      </c>
      <c r="I118" s="47">
        <f t="shared" si="54"/>
        <v>77.62068485450294</v>
      </c>
      <c r="J118" s="47" t="str">
        <f t="shared" si="54"/>
        <v> </v>
      </c>
      <c r="K118" s="47" t="str">
        <f t="shared" si="54"/>
        <v> </v>
      </c>
      <c r="L118" s="47" t="str">
        <f t="shared" si="54"/>
        <v> </v>
      </c>
      <c r="M118" s="47" t="str">
        <f t="shared" si="54"/>
        <v> </v>
      </c>
      <c r="N118" s="129">
        <f t="shared" si="54"/>
        <v>62.14735815228855</v>
      </c>
      <c r="O118" s="129">
        <f t="shared" si="54"/>
        <v>67.59777304526709</v>
      </c>
      <c r="P118" s="252"/>
    </row>
    <row r="119" spans="1:16" ht="15.75" customHeight="1">
      <c r="A119" s="39">
        <v>7</v>
      </c>
      <c r="B119" s="31" t="s">
        <v>7</v>
      </c>
      <c r="C119" s="47">
        <f aca="true" t="shared" si="55" ref="C119:O119">_xlfn.IFERROR(((C63/C11))*100," ")</f>
        <v>55.68518457400135</v>
      </c>
      <c r="D119" s="47">
        <f t="shared" si="55"/>
        <v>41.91324676538479</v>
      </c>
      <c r="E119" s="47">
        <f t="shared" si="55"/>
        <v>31.48275664404812</v>
      </c>
      <c r="F119" s="47">
        <f t="shared" si="55"/>
        <v>53.748489047110795</v>
      </c>
      <c r="G119" s="47">
        <f t="shared" si="55"/>
        <v>40.17252433780023</v>
      </c>
      <c r="H119" s="47">
        <f t="shared" si="55"/>
        <v>34.63995303715358</v>
      </c>
      <c r="I119" s="47">
        <f t="shared" si="55"/>
        <v>97.7405079524233</v>
      </c>
      <c r="J119" s="47">
        <f t="shared" si="55"/>
        <v>-6.928997308585484</v>
      </c>
      <c r="K119" s="47">
        <f t="shared" si="55"/>
        <v>-8.347691835272443</v>
      </c>
      <c r="L119" s="47">
        <f t="shared" si="55"/>
        <v>37.24414543586833</v>
      </c>
      <c r="M119" s="47">
        <f t="shared" si="55"/>
        <v>61.530957755562724</v>
      </c>
      <c r="N119" s="129">
        <f t="shared" si="55"/>
        <v>51.270272772393724</v>
      </c>
      <c r="O119" s="129">
        <f t="shared" si="55"/>
        <v>50.9105571554909</v>
      </c>
      <c r="P119" s="252"/>
    </row>
    <row r="120" spans="1:16" ht="15.75" customHeight="1">
      <c r="A120" s="39">
        <v>8</v>
      </c>
      <c r="B120" s="31" t="s">
        <v>19</v>
      </c>
      <c r="C120" s="47">
        <f aca="true" t="shared" si="56" ref="C120:O120">_xlfn.IFERROR(((C64/C12))*100," ")</f>
        <v>16.507518290717094</v>
      </c>
      <c r="D120" s="47">
        <f t="shared" si="56"/>
        <v>100</v>
      </c>
      <c r="E120" s="47">
        <f t="shared" si="56"/>
        <v>80.67112659368053</v>
      </c>
      <c r="F120" s="47">
        <f t="shared" si="56"/>
        <v>100</v>
      </c>
      <c r="G120" s="47">
        <f t="shared" si="56"/>
        <v>100</v>
      </c>
      <c r="H120" s="47">
        <f t="shared" si="56"/>
        <v>7.785558330160168</v>
      </c>
      <c r="I120" s="47">
        <f t="shared" si="56"/>
        <v>98.68566392271705</v>
      </c>
      <c r="J120" s="47">
        <f t="shared" si="56"/>
        <v>53.50877161657084</v>
      </c>
      <c r="K120" s="47">
        <f t="shared" si="56"/>
        <v>23.008091275811108</v>
      </c>
      <c r="L120" s="47" t="str">
        <f t="shared" si="56"/>
        <v> </v>
      </c>
      <c r="M120" s="47">
        <f t="shared" si="56"/>
        <v>38.44118216034955</v>
      </c>
      <c r="N120" s="129">
        <f t="shared" si="56"/>
        <v>50.2986717870692</v>
      </c>
      <c r="O120" s="129">
        <f t="shared" si="56"/>
        <v>61.044830696685935</v>
      </c>
      <c r="P120" s="252"/>
    </row>
    <row r="121" spans="1:16" ht="15.75" customHeight="1">
      <c r="A121" s="39">
        <v>9</v>
      </c>
      <c r="B121" s="31" t="s">
        <v>8</v>
      </c>
      <c r="C121" s="47">
        <f aca="true" t="shared" si="57" ref="C121:O121">_xlfn.IFERROR(((C65/C13))*100," ")</f>
        <v>12.47405122478219</v>
      </c>
      <c r="D121" s="47" t="str">
        <f t="shared" si="57"/>
        <v> </v>
      </c>
      <c r="E121" s="47">
        <f t="shared" si="57"/>
        <v>10.401520566852565</v>
      </c>
      <c r="F121" s="47">
        <f t="shared" si="57"/>
        <v>99.39452684131558</v>
      </c>
      <c r="G121" s="47">
        <f t="shared" si="57"/>
        <v>32.67232585881987</v>
      </c>
      <c r="H121" s="47">
        <f t="shared" si="57"/>
        <v>36.46126128492745</v>
      </c>
      <c r="I121" s="47">
        <f t="shared" si="57"/>
        <v>93.6124281229509</v>
      </c>
      <c r="J121" s="47">
        <f t="shared" si="57"/>
        <v>31.369782480893594</v>
      </c>
      <c r="K121" s="47">
        <f t="shared" si="57"/>
        <v>7.8828259620907515</v>
      </c>
      <c r="L121" s="47" t="str">
        <f t="shared" si="57"/>
        <v> </v>
      </c>
      <c r="M121" s="47">
        <f t="shared" si="57"/>
        <v>32.358727782256516</v>
      </c>
      <c r="N121" s="129">
        <f t="shared" si="57"/>
        <v>54.05171527699778</v>
      </c>
      <c r="O121" s="129">
        <f t="shared" si="57"/>
        <v>56.588172550574136</v>
      </c>
      <c r="P121" s="252"/>
    </row>
    <row r="122" spans="1:16" ht="15.75" customHeight="1">
      <c r="A122" s="39">
        <v>10</v>
      </c>
      <c r="B122" s="31" t="s">
        <v>50</v>
      </c>
      <c r="C122" s="47">
        <f aca="true" t="shared" si="58" ref="C122:O122">_xlfn.IFERROR(((C66/C14))*100," ")</f>
        <v>67.774921524188</v>
      </c>
      <c r="D122" s="47">
        <f t="shared" si="58"/>
        <v>100</v>
      </c>
      <c r="E122" s="47">
        <f t="shared" si="58"/>
        <v>57.198192971579054</v>
      </c>
      <c r="F122" s="47" t="str">
        <f t="shared" si="58"/>
        <v> </v>
      </c>
      <c r="G122" s="47">
        <f t="shared" si="58"/>
        <v>100</v>
      </c>
      <c r="H122" s="47">
        <f t="shared" si="58"/>
        <v>80.38453181079117</v>
      </c>
      <c r="I122" s="47">
        <f t="shared" si="58"/>
        <v>95.61350348223559</v>
      </c>
      <c r="J122" s="47">
        <f t="shared" si="58"/>
        <v>44.66211987899934</v>
      </c>
      <c r="K122" s="47">
        <f t="shared" si="58"/>
        <v>100</v>
      </c>
      <c r="L122" s="47" t="str">
        <f t="shared" si="58"/>
        <v> </v>
      </c>
      <c r="M122" s="47">
        <f t="shared" si="58"/>
        <v>100</v>
      </c>
      <c r="N122" s="129">
        <f t="shared" si="58"/>
        <v>86.14841142142275</v>
      </c>
      <c r="O122" s="129">
        <f t="shared" si="58"/>
        <v>84.58078820611229</v>
      </c>
      <c r="P122" s="252"/>
    </row>
    <row r="123" spans="1:16" ht="15.75" customHeight="1">
      <c r="A123" s="39">
        <v>11</v>
      </c>
      <c r="B123" s="31" t="s">
        <v>4</v>
      </c>
      <c r="C123" s="47">
        <f aca="true" t="shared" si="59" ref="C123:O123">_xlfn.IFERROR(((C67/C15))*100," ")</f>
        <v>40.001841980256465</v>
      </c>
      <c r="D123" s="47">
        <f t="shared" si="59"/>
        <v>25.82488125020434</v>
      </c>
      <c r="E123" s="47">
        <f t="shared" si="59"/>
        <v>19.46943200930263</v>
      </c>
      <c r="F123" s="47">
        <f t="shared" si="59"/>
        <v>94.49249064710034</v>
      </c>
      <c r="G123" s="47">
        <f t="shared" si="59"/>
        <v>100</v>
      </c>
      <c r="H123" s="47">
        <f t="shared" si="59"/>
        <v>-57.70680793798236</v>
      </c>
      <c r="I123" s="47">
        <f t="shared" si="59"/>
        <v>95.18256094849365</v>
      </c>
      <c r="J123" s="47">
        <f t="shared" si="59"/>
        <v>26.20299503910941</v>
      </c>
      <c r="K123" s="47">
        <f t="shared" si="59"/>
        <v>47.685550459976675</v>
      </c>
      <c r="L123" s="47" t="str">
        <f t="shared" si="59"/>
        <v> </v>
      </c>
      <c r="M123" s="47">
        <f t="shared" si="59"/>
        <v>20.461780433593972</v>
      </c>
      <c r="N123" s="129">
        <f t="shared" si="59"/>
        <v>80.36415831108377</v>
      </c>
      <c r="O123" s="129">
        <f t="shared" si="59"/>
        <v>84.5666065502404</v>
      </c>
      <c r="P123" s="252"/>
    </row>
    <row r="124" spans="1:16" ht="15.75" customHeight="1">
      <c r="A124" s="39">
        <v>12</v>
      </c>
      <c r="B124" s="31" t="s">
        <v>6</v>
      </c>
      <c r="C124" s="47" t="str">
        <f aca="true" t="shared" si="60" ref="C124:O124">_xlfn.IFERROR(((C68/C16))*100," ")</f>
        <v> </v>
      </c>
      <c r="D124" s="47" t="str">
        <f t="shared" si="60"/>
        <v> </v>
      </c>
      <c r="E124" s="47" t="str">
        <f t="shared" si="60"/>
        <v> </v>
      </c>
      <c r="F124" s="47" t="str">
        <f t="shared" si="60"/>
        <v> </v>
      </c>
      <c r="G124" s="47" t="str">
        <f t="shared" si="60"/>
        <v> </v>
      </c>
      <c r="H124" s="47" t="str">
        <f t="shared" si="60"/>
        <v> </v>
      </c>
      <c r="I124" s="47" t="str">
        <f t="shared" si="60"/>
        <v> </v>
      </c>
      <c r="J124" s="47" t="str">
        <f t="shared" si="60"/>
        <v> </v>
      </c>
      <c r="K124" s="47" t="str">
        <f t="shared" si="60"/>
        <v> </v>
      </c>
      <c r="L124" s="47" t="str">
        <f t="shared" si="60"/>
        <v> </v>
      </c>
      <c r="M124" s="47">
        <f t="shared" si="60"/>
        <v>63.80161230236923</v>
      </c>
      <c r="N124" s="129">
        <f t="shared" si="60"/>
        <v>63.80161230236923</v>
      </c>
      <c r="O124" s="129">
        <f t="shared" si="60"/>
        <v>67.11943467852105</v>
      </c>
      <c r="P124" s="252"/>
    </row>
    <row r="125" spans="1:16" ht="15.75" customHeight="1">
      <c r="A125" s="39">
        <v>13</v>
      </c>
      <c r="B125" s="31" t="s">
        <v>37</v>
      </c>
      <c r="C125" s="47">
        <f aca="true" t="shared" si="61" ref="C125:O125">_xlfn.IFERROR(((C69/C17))*100," ")</f>
        <v>32.77864322701362</v>
      </c>
      <c r="D125" s="47">
        <f t="shared" si="61"/>
        <v>77.4705204563938</v>
      </c>
      <c r="E125" s="47">
        <f t="shared" si="61"/>
        <v>93.2546638864798</v>
      </c>
      <c r="F125" s="47">
        <f t="shared" si="61"/>
        <v>93.47231748773274</v>
      </c>
      <c r="G125" s="47">
        <f t="shared" si="61"/>
        <v>85.75257501696633</v>
      </c>
      <c r="H125" s="47">
        <f t="shared" si="61"/>
        <v>59.54303064806907</v>
      </c>
      <c r="I125" s="47">
        <f t="shared" si="61"/>
        <v>85.71984095223124</v>
      </c>
      <c r="J125" s="47" t="str">
        <f t="shared" si="61"/>
        <v> </v>
      </c>
      <c r="K125" s="47">
        <f t="shared" si="61"/>
        <v>33.31021914784763</v>
      </c>
      <c r="L125" s="47" t="str">
        <f t="shared" si="61"/>
        <v> </v>
      </c>
      <c r="M125" s="47">
        <f t="shared" si="61"/>
        <v>87.27402693057259</v>
      </c>
      <c r="N125" s="129">
        <f t="shared" si="61"/>
        <v>67.91471559245291</v>
      </c>
      <c r="O125" s="129">
        <f t="shared" si="61"/>
        <v>65.1665118298791</v>
      </c>
      <c r="P125" s="252"/>
    </row>
    <row r="126" spans="1:16" ht="15.75" customHeight="1">
      <c r="A126" s="39">
        <v>14</v>
      </c>
      <c r="B126" s="31" t="s">
        <v>69</v>
      </c>
      <c r="C126" s="47">
        <f aca="true" t="shared" si="62" ref="C126:O126">_xlfn.IFERROR(((C70/C18))*100," ")</f>
        <v>23.493826792006498</v>
      </c>
      <c r="D126" s="47" t="str">
        <f t="shared" si="62"/>
        <v> </v>
      </c>
      <c r="E126" s="47" t="str">
        <f t="shared" si="62"/>
        <v> </v>
      </c>
      <c r="F126" s="47" t="str">
        <f t="shared" si="62"/>
        <v> </v>
      </c>
      <c r="G126" s="47">
        <f t="shared" si="62"/>
        <v>28.050128822467222</v>
      </c>
      <c r="H126" s="47">
        <f t="shared" si="62"/>
        <v>85.20672727771857</v>
      </c>
      <c r="I126" s="47">
        <f t="shared" si="62"/>
        <v>95.44176944107961</v>
      </c>
      <c r="J126" s="47">
        <f t="shared" si="62"/>
        <v>10.111056123637068</v>
      </c>
      <c r="K126" s="47">
        <f t="shared" si="62"/>
        <v>19.70654476460856</v>
      </c>
      <c r="L126" s="47" t="str">
        <f t="shared" si="62"/>
        <v> </v>
      </c>
      <c r="M126" s="47">
        <f t="shared" si="62"/>
        <v>79.5010070107374</v>
      </c>
      <c r="N126" s="129">
        <f t="shared" si="62"/>
        <v>62.04749882235071</v>
      </c>
      <c r="O126" s="129">
        <f t="shared" si="62"/>
        <v>60.14243565911484</v>
      </c>
      <c r="P126" s="252"/>
    </row>
    <row r="127" spans="1:16" ht="15.75" customHeight="1">
      <c r="A127" s="39">
        <v>15</v>
      </c>
      <c r="B127" s="31" t="s">
        <v>70</v>
      </c>
      <c r="C127" s="47" t="str">
        <f aca="true" t="shared" si="63" ref="C127:O127">_xlfn.IFERROR(((C71/C19))*100," ")</f>
        <v> </v>
      </c>
      <c r="D127" s="47" t="str">
        <f t="shared" si="63"/>
        <v> </v>
      </c>
      <c r="E127" s="47" t="str">
        <f t="shared" si="63"/>
        <v> </v>
      </c>
      <c r="F127" s="47" t="str">
        <f t="shared" si="63"/>
        <v> </v>
      </c>
      <c r="G127" s="47" t="str">
        <f t="shared" si="63"/>
        <v> </v>
      </c>
      <c r="H127" s="47" t="str">
        <f t="shared" si="63"/>
        <v> </v>
      </c>
      <c r="I127" s="47" t="str">
        <f t="shared" si="63"/>
        <v> </v>
      </c>
      <c r="J127" s="47" t="str">
        <f t="shared" si="63"/>
        <v> </v>
      </c>
      <c r="K127" s="47" t="str">
        <f t="shared" si="63"/>
        <v> </v>
      </c>
      <c r="L127" s="47" t="str">
        <f t="shared" si="63"/>
        <v> </v>
      </c>
      <c r="M127" s="47">
        <f t="shared" si="63"/>
        <v>45.92182021810125</v>
      </c>
      <c r="N127" s="129">
        <f t="shared" si="63"/>
        <v>45.92182021810125</v>
      </c>
      <c r="O127" s="129">
        <f t="shared" si="63"/>
        <v>82.05178323538263</v>
      </c>
      <c r="P127" s="252"/>
    </row>
    <row r="128" spans="1:16" ht="15.75" customHeight="1">
      <c r="A128" s="39">
        <v>16</v>
      </c>
      <c r="B128" s="31" t="s">
        <v>9</v>
      </c>
      <c r="C128" s="47">
        <f aca="true" t="shared" si="64" ref="C128:O128">_xlfn.IFERROR(((C72/C20))*100," ")</f>
        <v>38.66483262199825</v>
      </c>
      <c r="D128" s="47">
        <f t="shared" si="64"/>
        <v>74.82376636455186</v>
      </c>
      <c r="E128" s="47">
        <f t="shared" si="64"/>
        <v>86.42089191577934</v>
      </c>
      <c r="F128" s="47">
        <f t="shared" si="64"/>
        <v>100</v>
      </c>
      <c r="G128" s="47">
        <f t="shared" si="64"/>
        <v>100</v>
      </c>
      <c r="H128" s="47" t="str">
        <f t="shared" si="64"/>
        <v> </v>
      </c>
      <c r="I128" s="47">
        <f t="shared" si="64"/>
        <v>83.71506779744047</v>
      </c>
      <c r="J128" s="47" t="str">
        <f t="shared" si="64"/>
        <v> </v>
      </c>
      <c r="K128" s="47">
        <f t="shared" si="64"/>
        <v>59.41613628987452</v>
      </c>
      <c r="L128" s="47" t="str">
        <f t="shared" si="64"/>
        <v> </v>
      </c>
      <c r="M128" s="47">
        <f t="shared" si="64"/>
        <v>66.02496969497061</v>
      </c>
      <c r="N128" s="129">
        <f t="shared" si="64"/>
        <v>76.78991703392063</v>
      </c>
      <c r="O128" s="129">
        <f t="shared" si="64"/>
        <v>81.43510664576873</v>
      </c>
      <c r="P128" s="252"/>
    </row>
    <row r="129" spans="1:16" ht="15.75" customHeight="1">
      <c r="A129" s="39">
        <v>17</v>
      </c>
      <c r="B129" s="31" t="s">
        <v>51</v>
      </c>
      <c r="C129" s="47">
        <f aca="true" t="shared" si="65" ref="C129:O129">_xlfn.IFERROR(((C73/C21))*100," ")</f>
        <v>35.21964507642089</v>
      </c>
      <c r="D129" s="47" t="str">
        <f t="shared" si="65"/>
        <v> </v>
      </c>
      <c r="E129" s="47">
        <f t="shared" si="65"/>
        <v>100</v>
      </c>
      <c r="F129" s="47">
        <f t="shared" si="65"/>
        <v>100</v>
      </c>
      <c r="G129" s="47">
        <f t="shared" si="65"/>
        <v>100</v>
      </c>
      <c r="H129" s="47" t="str">
        <f t="shared" si="65"/>
        <v> </v>
      </c>
      <c r="I129" s="47">
        <f t="shared" si="65"/>
        <v>85.77563076749041</v>
      </c>
      <c r="J129" s="47">
        <f t="shared" si="65"/>
        <v>92.14054</v>
      </c>
      <c r="K129" s="47">
        <f t="shared" si="65"/>
        <v>100</v>
      </c>
      <c r="L129" s="47" t="str">
        <f t="shared" si="65"/>
        <v> </v>
      </c>
      <c r="M129" s="47">
        <f t="shared" si="65"/>
        <v>100</v>
      </c>
      <c r="N129" s="129">
        <f t="shared" si="65"/>
        <v>77.09329345850291</v>
      </c>
      <c r="O129" s="129">
        <f t="shared" si="65"/>
        <v>86.63828824274297</v>
      </c>
      <c r="P129" s="252"/>
    </row>
    <row r="130" spans="1:16" ht="15.75" customHeight="1">
      <c r="A130" s="39">
        <v>18</v>
      </c>
      <c r="B130" s="165" t="s">
        <v>128</v>
      </c>
      <c r="C130" s="47">
        <f aca="true" t="shared" si="66" ref="C130:O130">_xlfn.IFERROR(((C74/C22))*100," ")</f>
        <v>30.30075071155472</v>
      </c>
      <c r="D130" s="47" t="str">
        <f t="shared" si="66"/>
        <v> </v>
      </c>
      <c r="E130" s="47" t="str">
        <f t="shared" si="66"/>
        <v> </v>
      </c>
      <c r="F130" s="47">
        <f t="shared" si="66"/>
        <v>90.57355705873726</v>
      </c>
      <c r="G130" s="47">
        <f t="shared" si="66"/>
        <v>93.24532797423274</v>
      </c>
      <c r="H130" s="47">
        <f t="shared" si="66"/>
        <v>20.960111847237798</v>
      </c>
      <c r="I130" s="47">
        <f t="shared" si="66"/>
        <v>91.41917982122666</v>
      </c>
      <c r="J130" s="47">
        <f t="shared" si="66"/>
        <v>49.17215386672254</v>
      </c>
      <c r="K130" s="47">
        <f t="shared" si="66"/>
        <v>18.89829743255004</v>
      </c>
      <c r="L130" s="47" t="str">
        <f t="shared" si="66"/>
        <v> </v>
      </c>
      <c r="M130" s="47">
        <f t="shared" si="66"/>
        <v>57.56887332739926</v>
      </c>
      <c r="N130" s="129">
        <f t="shared" si="66"/>
        <v>53.40995780147095</v>
      </c>
      <c r="O130" s="129">
        <f t="shared" si="66"/>
        <v>58.014810956975914</v>
      </c>
      <c r="P130" s="252"/>
    </row>
    <row r="131" spans="1:16" s="23" customFormat="1" ht="15.75" customHeight="1">
      <c r="A131" s="39">
        <v>19</v>
      </c>
      <c r="B131" s="31" t="s">
        <v>53</v>
      </c>
      <c r="C131" s="47">
        <f aca="true" t="shared" si="67" ref="C131:O131">_xlfn.IFERROR(((C75/C23))*100," ")</f>
        <v>31.132232098268737</v>
      </c>
      <c r="D131" s="47">
        <f t="shared" si="67"/>
        <v>96.2063183923778</v>
      </c>
      <c r="E131" s="47">
        <f t="shared" si="67"/>
        <v>54.10723979222611</v>
      </c>
      <c r="F131" s="47">
        <f t="shared" si="67"/>
        <v>71.3024470801194</v>
      </c>
      <c r="G131" s="47">
        <f t="shared" si="67"/>
        <v>38.24796067256589</v>
      </c>
      <c r="H131" s="47">
        <f t="shared" si="67"/>
        <v>4.251696300443825</v>
      </c>
      <c r="I131" s="47">
        <f t="shared" si="67"/>
        <v>89.27469050813721</v>
      </c>
      <c r="J131" s="47" t="str">
        <f t="shared" si="67"/>
        <v> </v>
      </c>
      <c r="K131" s="47">
        <f t="shared" si="67"/>
        <v>7.074291849835797</v>
      </c>
      <c r="L131" s="47" t="str">
        <f t="shared" si="67"/>
        <v> </v>
      </c>
      <c r="M131" s="47">
        <f t="shared" si="67"/>
        <v>33.89778979189077</v>
      </c>
      <c r="N131" s="129">
        <f t="shared" si="67"/>
        <v>52.22645663262057</v>
      </c>
      <c r="O131" s="129">
        <f t="shared" si="67"/>
        <v>55.6558185965975</v>
      </c>
      <c r="P131" s="252"/>
    </row>
    <row r="132" spans="1:76" s="2" customFormat="1" ht="15.75" customHeight="1">
      <c r="A132" s="39">
        <v>20</v>
      </c>
      <c r="B132" s="31" t="s">
        <v>74</v>
      </c>
      <c r="C132" s="47">
        <f>_xlfn.IFERROR(((C76/C24))*100," ")</f>
        <v>30.864111533086398</v>
      </c>
      <c r="D132" s="47" t="str">
        <f aca="true" t="shared" si="68" ref="D132:O132">_xlfn.IFERROR(((D76/D24))*100," ")</f>
        <v> </v>
      </c>
      <c r="E132" s="47">
        <f t="shared" si="68"/>
        <v>33.8821267381947</v>
      </c>
      <c r="F132" s="47">
        <f t="shared" si="68"/>
        <v>74.45638384683431</v>
      </c>
      <c r="G132" s="47">
        <f t="shared" si="68"/>
        <v>78.13979992402179</v>
      </c>
      <c r="H132" s="47">
        <f t="shared" si="68"/>
        <v>66.76672966747387</v>
      </c>
      <c r="I132" s="47">
        <f t="shared" si="68"/>
        <v>95.38370208384376</v>
      </c>
      <c r="J132" s="47">
        <f t="shared" si="68"/>
        <v>217.84733927281482</v>
      </c>
      <c r="K132" s="47">
        <f t="shared" si="68"/>
        <v>89.93893309272933</v>
      </c>
      <c r="L132" s="47" t="str">
        <f t="shared" si="68"/>
        <v> </v>
      </c>
      <c r="M132" s="47">
        <f t="shared" si="68"/>
        <v>47.37727341939734</v>
      </c>
      <c r="N132" s="129">
        <f t="shared" si="68"/>
        <v>69.12751963657352</v>
      </c>
      <c r="O132" s="129">
        <f t="shared" si="68"/>
        <v>53.95314831019679</v>
      </c>
      <c r="P132" s="252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/>
      <c r="BQ132" s="160"/>
      <c r="BR132" s="160"/>
      <c r="BS132" s="160"/>
      <c r="BT132" s="160"/>
      <c r="BU132" s="160"/>
      <c r="BV132" s="160"/>
      <c r="BW132" s="160"/>
      <c r="BX132" s="160"/>
    </row>
    <row r="133" spans="1:76" s="2" customFormat="1" ht="15.75" customHeight="1">
      <c r="A133" s="39">
        <v>21</v>
      </c>
      <c r="B133" s="31" t="s">
        <v>118</v>
      </c>
      <c r="C133" s="47">
        <f>_xlfn.IFERROR(((C77/C25))*100," ")</f>
        <v>55.340094981266255</v>
      </c>
      <c r="D133" s="47">
        <f aca="true" t="shared" si="69" ref="D133:O133">_xlfn.IFERROR(((D77/D25))*100," ")</f>
        <v>53.64973957808018</v>
      </c>
      <c r="E133" s="47">
        <f t="shared" si="69"/>
        <v>70.48354056500405</v>
      </c>
      <c r="F133" s="47">
        <f t="shared" si="69"/>
        <v>92.34277926741989</v>
      </c>
      <c r="G133" s="47">
        <f t="shared" si="69"/>
        <v>77.14003491398859</v>
      </c>
      <c r="H133" s="47">
        <f t="shared" si="69"/>
        <v>53.872879181233145</v>
      </c>
      <c r="I133" s="47">
        <f t="shared" si="69"/>
        <v>98.75220112297322</v>
      </c>
      <c r="J133" s="47">
        <f t="shared" si="69"/>
        <v>54.308271981358914</v>
      </c>
      <c r="K133" s="47">
        <f t="shared" si="69"/>
        <v>76.89489740982233</v>
      </c>
      <c r="L133" s="47" t="str">
        <f t="shared" si="69"/>
        <v> </v>
      </c>
      <c r="M133" s="47">
        <f t="shared" si="69"/>
        <v>661.3333333333334</v>
      </c>
      <c r="N133" s="47">
        <f t="shared" si="69"/>
        <v>75.7178739229604</v>
      </c>
      <c r="O133" s="47">
        <f t="shared" si="69"/>
        <v>92.83431254145839</v>
      </c>
      <c r="P133" s="252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  <c r="BI133" s="160"/>
      <c r="BJ133" s="160"/>
      <c r="BK133" s="160"/>
      <c r="BL133" s="160"/>
      <c r="BM133" s="160"/>
      <c r="BN133" s="160"/>
      <c r="BO133" s="160"/>
      <c r="BP133" s="160"/>
      <c r="BQ133" s="160"/>
      <c r="BR133" s="160"/>
      <c r="BS133" s="160"/>
      <c r="BT133" s="160"/>
      <c r="BU133" s="160"/>
      <c r="BV133" s="160"/>
      <c r="BW133" s="160"/>
      <c r="BX133" s="160"/>
    </row>
    <row r="134" spans="1:16" ht="15.75" customHeight="1">
      <c r="A134" s="42"/>
      <c r="B134" s="43" t="s">
        <v>10</v>
      </c>
      <c r="C134" s="50">
        <f aca="true" t="shared" si="70" ref="C134:L134">((C78/C26))*100</f>
        <v>22.81511876426297</v>
      </c>
      <c r="D134" s="50">
        <f t="shared" si="70"/>
        <v>66.1294277413921</v>
      </c>
      <c r="E134" s="50">
        <f t="shared" si="70"/>
        <v>59.205975495268135</v>
      </c>
      <c r="F134" s="50">
        <f t="shared" si="70"/>
        <v>65.52294260724749</v>
      </c>
      <c r="G134" s="50">
        <f t="shared" si="70"/>
        <v>31.568582847999377</v>
      </c>
      <c r="H134" s="50">
        <f t="shared" si="70"/>
        <v>30.310140639677634</v>
      </c>
      <c r="I134" s="50">
        <f t="shared" si="70"/>
        <v>92.78651924018948</v>
      </c>
      <c r="J134" s="50">
        <f t="shared" si="70"/>
        <v>26.055341501298972</v>
      </c>
      <c r="K134" s="50">
        <f t="shared" si="70"/>
        <v>15.707127058750434</v>
      </c>
      <c r="L134" s="50">
        <f t="shared" si="70"/>
        <v>66.0085490379343</v>
      </c>
      <c r="M134" s="129">
        <f>_xlfn.IFERROR(((M78/M26))*100," ")</f>
        <v>58.066852478562524</v>
      </c>
      <c r="N134" s="129">
        <f>_xlfn.IFERROR(((N78/N26))*100," ")</f>
        <v>55.79587222294654</v>
      </c>
      <c r="O134" s="129">
        <f>_xlfn.IFERROR(((O78/O26))*100," ")</f>
        <v>54.92392514536114</v>
      </c>
      <c r="P134" s="252"/>
    </row>
    <row r="139" spans="5:12" ht="15.75" customHeight="1">
      <c r="E139" s="34" t="s">
        <v>134</v>
      </c>
      <c r="L139" s="34" t="s">
        <v>35</v>
      </c>
    </row>
    <row r="140" spans="1:16" ht="15.75" customHeight="1" thickBot="1">
      <c r="A140" s="38" t="s">
        <v>85</v>
      </c>
      <c r="B140" s="38" t="s">
        <v>0</v>
      </c>
      <c r="C140" s="38" t="s">
        <v>11</v>
      </c>
      <c r="D140" s="38" t="s">
        <v>14</v>
      </c>
      <c r="E140" s="38" t="s">
        <v>16</v>
      </c>
      <c r="F140" s="38" t="s">
        <v>13</v>
      </c>
      <c r="G140" s="38" t="s">
        <v>48</v>
      </c>
      <c r="H140" s="38" t="s">
        <v>49</v>
      </c>
      <c r="I140" s="38" t="s">
        <v>12</v>
      </c>
      <c r="J140" s="38" t="s">
        <v>17</v>
      </c>
      <c r="K140" s="38" t="s">
        <v>15</v>
      </c>
      <c r="L140" s="38" t="s">
        <v>66</v>
      </c>
      <c r="M140" s="31" t="s">
        <v>18</v>
      </c>
      <c r="N140" s="299" t="s">
        <v>127</v>
      </c>
      <c r="O140" s="45" t="s">
        <v>122</v>
      </c>
      <c r="P140" s="45"/>
    </row>
    <row r="141" spans="1:16" ht="15.75" customHeight="1">
      <c r="A141" s="39">
        <v>1</v>
      </c>
      <c r="B141" s="31" t="s">
        <v>1</v>
      </c>
      <c r="C141" s="40">
        <v>3062901</v>
      </c>
      <c r="D141" s="40">
        <v>369831</v>
      </c>
      <c r="E141" s="40">
        <v>4039838</v>
      </c>
      <c r="F141" s="40">
        <v>1146701</v>
      </c>
      <c r="G141" s="40">
        <v>467942</v>
      </c>
      <c r="H141" s="40">
        <v>1679312</v>
      </c>
      <c r="I141" s="40">
        <v>20155138</v>
      </c>
      <c r="J141" s="40">
        <v>133565</v>
      </c>
      <c r="K141" s="40">
        <v>406128</v>
      </c>
      <c r="L141" s="40">
        <v>17748264</v>
      </c>
      <c r="M141" s="40">
        <f>25620+2755601</f>
        <v>2781221</v>
      </c>
      <c r="N141" s="38">
        <f aca="true" t="shared" si="71" ref="N141:N161">SUM(C141:M141)</f>
        <v>51990841</v>
      </c>
      <c r="O141" s="32">
        <v>53532387</v>
      </c>
      <c r="P141" s="45"/>
    </row>
    <row r="142" spans="1:16" ht="15.75" customHeight="1">
      <c r="A142" s="39">
        <v>2</v>
      </c>
      <c r="B142" s="31" t="s">
        <v>56</v>
      </c>
      <c r="C142" s="40">
        <v>1592</v>
      </c>
      <c r="D142" s="40">
        <v>8749</v>
      </c>
      <c r="E142" s="40"/>
      <c r="F142" s="40"/>
      <c r="G142" s="40">
        <v>27894</v>
      </c>
      <c r="H142" s="40">
        <f>5631-19</f>
        <v>5612</v>
      </c>
      <c r="I142" s="40"/>
      <c r="J142" s="40"/>
      <c r="K142" s="40"/>
      <c r="L142" s="40"/>
      <c r="M142" s="40">
        <v>1733</v>
      </c>
      <c r="N142" s="38">
        <f>SUM(C142:M142)</f>
        <v>45580</v>
      </c>
      <c r="O142" s="32">
        <v>0</v>
      </c>
      <c r="P142" s="45"/>
    </row>
    <row r="143" spans="1:16" ht="15.75" customHeight="1">
      <c r="A143" s="39">
        <v>3</v>
      </c>
      <c r="B143" s="31" t="s">
        <v>2</v>
      </c>
      <c r="C143" s="40">
        <f>799165+3957115</f>
        <v>4756280</v>
      </c>
      <c r="D143" s="40">
        <f>2461333</f>
        <v>2461333</v>
      </c>
      <c r="E143" s="40">
        <f>7452840</f>
        <v>7452840</v>
      </c>
      <c r="F143" s="40">
        <v>1173070</v>
      </c>
      <c r="G143" s="40">
        <f>457590</f>
        <v>457590</v>
      </c>
      <c r="H143" s="40">
        <f>965055</f>
        <v>965055</v>
      </c>
      <c r="I143" s="40">
        <f>8465899+6328643</f>
        <v>14794542</v>
      </c>
      <c r="J143" s="40">
        <v>0</v>
      </c>
      <c r="K143" s="40">
        <f>2174930</f>
        <v>2174930</v>
      </c>
      <c r="L143" s="40">
        <f>50387303</f>
        <v>50387303</v>
      </c>
      <c r="M143" s="40">
        <f>103848</f>
        <v>103848</v>
      </c>
      <c r="N143" s="38">
        <f t="shared" si="71"/>
        <v>84726791</v>
      </c>
      <c r="O143" s="32">
        <v>78750488</v>
      </c>
      <c r="P143" s="45"/>
    </row>
    <row r="144" spans="1:16" ht="15.75" customHeight="1">
      <c r="A144" s="39">
        <v>4</v>
      </c>
      <c r="B144" s="31" t="s">
        <v>83</v>
      </c>
      <c r="C144" s="40">
        <v>1558954</v>
      </c>
      <c r="D144" s="40">
        <v>82331</v>
      </c>
      <c r="E144" s="40">
        <v>847979</v>
      </c>
      <c r="F144" s="40">
        <v>666163</v>
      </c>
      <c r="G144" s="40">
        <v>114294</v>
      </c>
      <c r="H144" s="40">
        <f>378462+16644+352910-90</f>
        <v>747926</v>
      </c>
      <c r="I144" s="40">
        <f>4271151+1643</f>
        <v>4272794</v>
      </c>
      <c r="J144" s="40">
        <v>13516</v>
      </c>
      <c r="K144" s="40">
        <f>121524+19862</f>
        <v>141386</v>
      </c>
      <c r="L144" s="40"/>
      <c r="M144" s="40">
        <v>1460052</v>
      </c>
      <c r="N144" s="38">
        <f t="shared" si="71"/>
        <v>9905395</v>
      </c>
      <c r="O144" s="32">
        <v>7027362</v>
      </c>
      <c r="P144" s="45"/>
    </row>
    <row r="145" spans="1:16" ht="15.75" customHeight="1">
      <c r="A145" s="39">
        <v>5</v>
      </c>
      <c r="B145" s="31" t="s">
        <v>3</v>
      </c>
      <c r="C145" s="40">
        <v>264496.632</v>
      </c>
      <c r="D145" s="40">
        <v>14797.211</v>
      </c>
      <c r="E145" s="40">
        <v>193054.143</v>
      </c>
      <c r="F145" s="40">
        <v>165849.363</v>
      </c>
      <c r="G145" s="40">
        <v>203036.423</v>
      </c>
      <c r="H145" s="40">
        <v>539550.575</v>
      </c>
      <c r="I145" s="40">
        <v>4320383.45</v>
      </c>
      <c r="J145" s="40"/>
      <c r="K145" s="40">
        <f>308621.559+121387.248</f>
        <v>430008.80700000003</v>
      </c>
      <c r="L145" s="40"/>
      <c r="M145" s="40">
        <v>-34157.784</v>
      </c>
      <c r="N145" s="38">
        <f t="shared" si="71"/>
        <v>6097018.82</v>
      </c>
      <c r="O145" s="32">
        <v>6067620.442</v>
      </c>
      <c r="P145" s="45"/>
    </row>
    <row r="146" spans="1:16" ht="15.75" customHeight="1">
      <c r="A146" s="39">
        <v>6</v>
      </c>
      <c r="B146" s="45" t="s">
        <v>111</v>
      </c>
      <c r="C146" s="40">
        <v>1187459</v>
      </c>
      <c r="D146" s="40"/>
      <c r="E146" s="40">
        <v>4389156</v>
      </c>
      <c r="F146" s="40"/>
      <c r="G146" s="40"/>
      <c r="H146" s="40">
        <f>980090+327</f>
        <v>980417</v>
      </c>
      <c r="I146" s="40">
        <v>5471218</v>
      </c>
      <c r="J146" s="40"/>
      <c r="K146" s="40"/>
      <c r="L146" s="40"/>
      <c r="M146" s="40"/>
      <c r="N146" s="38">
        <f t="shared" si="71"/>
        <v>12028250</v>
      </c>
      <c r="O146" s="32">
        <v>11802963</v>
      </c>
      <c r="P146" s="45"/>
    </row>
    <row r="147" spans="1:16" ht="15.75" customHeight="1">
      <c r="A147" s="39">
        <v>7</v>
      </c>
      <c r="B147" s="31" t="s">
        <v>7</v>
      </c>
      <c r="C147" s="40">
        <v>2641949</v>
      </c>
      <c r="D147" s="40">
        <v>841728</v>
      </c>
      <c r="E147" s="40">
        <v>722497</v>
      </c>
      <c r="F147" s="40">
        <v>850423</v>
      </c>
      <c r="G147" s="40">
        <v>195285</v>
      </c>
      <c r="H147" s="40">
        <v>251775</v>
      </c>
      <c r="I147" s="40">
        <v>4215927</v>
      </c>
      <c r="J147" s="40">
        <v>-3184</v>
      </c>
      <c r="K147" s="40">
        <v>453854</v>
      </c>
      <c r="L147" s="40">
        <v>1048281</v>
      </c>
      <c r="M147" s="40">
        <v>45074</v>
      </c>
      <c r="N147" s="38">
        <f t="shared" si="71"/>
        <v>11263609</v>
      </c>
      <c r="O147" s="32">
        <v>10698923</v>
      </c>
      <c r="P147" s="45"/>
    </row>
    <row r="148" spans="1:16" ht="15.75" customHeight="1">
      <c r="A148" s="39">
        <v>8</v>
      </c>
      <c r="B148" s="31" t="s">
        <v>19</v>
      </c>
      <c r="C148" s="40">
        <v>433868.715</v>
      </c>
      <c r="D148" s="40">
        <v>54724</v>
      </c>
      <c r="E148" s="40">
        <v>883757.903</v>
      </c>
      <c r="F148" s="40">
        <v>287275</v>
      </c>
      <c r="G148" s="40">
        <v>95103</v>
      </c>
      <c r="H148" s="40">
        <f>229286.68+-52099</f>
        <v>177187.68</v>
      </c>
      <c r="I148" s="40">
        <f>7412242.82</f>
        <v>7412242.82</v>
      </c>
      <c r="J148" s="40">
        <v>178364.218</v>
      </c>
      <c r="K148" s="40">
        <f>120059.338</f>
        <v>120059.338</v>
      </c>
      <c r="L148" s="40">
        <v>0</v>
      </c>
      <c r="M148" s="40">
        <f>922235.736</f>
        <v>922235.736</v>
      </c>
      <c r="N148" s="38">
        <f t="shared" si="71"/>
        <v>10564818.41</v>
      </c>
      <c r="O148" s="32">
        <v>9944018</v>
      </c>
      <c r="P148" s="45"/>
    </row>
    <row r="149" spans="1:16" ht="15.75" customHeight="1">
      <c r="A149" s="39">
        <v>9</v>
      </c>
      <c r="B149" s="31" t="s">
        <v>8</v>
      </c>
      <c r="C149" s="40">
        <v>230534</v>
      </c>
      <c r="D149" s="40">
        <v>0</v>
      </c>
      <c r="E149" s="40">
        <v>73243</v>
      </c>
      <c r="F149" s="40">
        <v>708497</v>
      </c>
      <c r="G149" s="40">
        <v>43019</v>
      </c>
      <c r="H149" s="40">
        <v>552627</v>
      </c>
      <c r="I149" s="40">
        <v>2441337</v>
      </c>
      <c r="J149" s="40">
        <v>10917</v>
      </c>
      <c r="K149" s="40">
        <v>82651</v>
      </c>
      <c r="L149" s="40">
        <v>0</v>
      </c>
      <c r="M149" s="40">
        <v>260479</v>
      </c>
      <c r="N149" s="38">
        <f t="shared" si="71"/>
        <v>4403304</v>
      </c>
      <c r="O149" s="32">
        <v>3606686</v>
      </c>
      <c r="P149" s="45"/>
    </row>
    <row r="150" spans="1:16" ht="15.75" customHeight="1">
      <c r="A150" s="39">
        <v>10</v>
      </c>
      <c r="B150" s="31" t="s">
        <v>50</v>
      </c>
      <c r="C150" s="40">
        <v>926481</v>
      </c>
      <c r="D150" s="40">
        <v>53398</v>
      </c>
      <c r="E150" s="40">
        <v>793248</v>
      </c>
      <c r="F150" s="40"/>
      <c r="G150" s="40">
        <v>41380</v>
      </c>
      <c r="H150" s="40">
        <v>295393</v>
      </c>
      <c r="I150" s="40">
        <f>6792709+623339</f>
        <v>7416048</v>
      </c>
      <c r="J150" s="40">
        <v>1128924</v>
      </c>
      <c r="K150" s="40">
        <v>37663</v>
      </c>
      <c r="L150" s="40"/>
      <c r="M150" s="40">
        <f>1733476+871023</f>
        <v>2604499</v>
      </c>
      <c r="N150" s="38">
        <f t="shared" si="71"/>
        <v>13297034</v>
      </c>
      <c r="O150" s="32">
        <v>12534030.8</v>
      </c>
      <c r="P150" s="45"/>
    </row>
    <row r="151" spans="1:16" ht="15.75" customHeight="1">
      <c r="A151" s="39">
        <v>11</v>
      </c>
      <c r="B151" s="31" t="s">
        <v>4</v>
      </c>
      <c r="C151" s="40">
        <v>65513.30493564796</v>
      </c>
      <c r="D151" s="40">
        <v>3709.1838712745957</v>
      </c>
      <c r="E151" s="40">
        <v>8256.392820619025</v>
      </c>
      <c r="F151" s="40">
        <v>120229.68866173312</v>
      </c>
      <c r="G151" s="40">
        <v>9455.10612026203</v>
      </c>
      <c r="H151" s="40">
        <v>12200.669310576675</v>
      </c>
      <c r="I151" s="40">
        <v>6593227.863284415</v>
      </c>
      <c r="J151" s="40">
        <v>160353.56949931988</v>
      </c>
      <c r="K151" s="40">
        <v>40239.475412584856</v>
      </c>
      <c r="L151" s="40">
        <v>0</v>
      </c>
      <c r="M151" s="40">
        <v>29868.493249368505</v>
      </c>
      <c r="N151" s="38">
        <f t="shared" si="71"/>
        <v>7043053.747165802</v>
      </c>
      <c r="O151" s="32">
        <v>7715422.083000001</v>
      </c>
      <c r="P151" s="45"/>
    </row>
    <row r="152" spans="1:16" ht="15.75" customHeight="1">
      <c r="A152" s="39">
        <v>12</v>
      </c>
      <c r="B152" s="31" t="s">
        <v>6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>
        <v>2903734</v>
      </c>
      <c r="N152" s="38">
        <f t="shared" si="71"/>
        <v>2903734</v>
      </c>
      <c r="O152" s="32">
        <v>2736449</v>
      </c>
      <c r="P152" s="45"/>
    </row>
    <row r="153" spans="1:16" ht="15.75" customHeight="1">
      <c r="A153" s="39">
        <v>13</v>
      </c>
      <c r="B153" s="31" t="s">
        <v>37</v>
      </c>
      <c r="C153" s="40">
        <v>1179032</v>
      </c>
      <c r="D153" s="40">
        <v>1251170</v>
      </c>
      <c r="E153" s="40">
        <v>593392</v>
      </c>
      <c r="F153" s="40">
        <v>855105</v>
      </c>
      <c r="G153" s="40">
        <v>200931</v>
      </c>
      <c r="H153" s="40">
        <v>803447</v>
      </c>
      <c r="I153" s="40">
        <f>2907301+1453681</f>
        <v>4360982</v>
      </c>
      <c r="J153" s="40"/>
      <c r="K153" s="40">
        <v>320399</v>
      </c>
      <c r="L153" s="40"/>
      <c r="M153" s="40">
        <f>46538+1038714+233109</f>
        <v>1318361</v>
      </c>
      <c r="N153" s="38">
        <f t="shared" si="71"/>
        <v>10882819</v>
      </c>
      <c r="O153" s="32">
        <v>8403728</v>
      </c>
      <c r="P153" s="45"/>
    </row>
    <row r="154" spans="1:16" ht="15.75" customHeight="1">
      <c r="A154" s="39">
        <v>14</v>
      </c>
      <c r="B154" s="31" t="s">
        <v>69</v>
      </c>
      <c r="C154" s="40">
        <v>4861209</v>
      </c>
      <c r="D154" s="40">
        <v>0</v>
      </c>
      <c r="E154" s="40">
        <v>0</v>
      </c>
      <c r="F154" s="40">
        <v>0</v>
      </c>
      <c r="G154" s="40">
        <v>1947958</v>
      </c>
      <c r="H154" s="40">
        <f>3666430+97560</f>
        <v>3763990</v>
      </c>
      <c r="I154" s="40">
        <v>19296935</v>
      </c>
      <c r="J154" s="40">
        <v>1262331</v>
      </c>
      <c r="K154" s="40">
        <v>2958029</v>
      </c>
      <c r="L154" s="40">
        <v>0</v>
      </c>
      <c r="M154" s="40">
        <v>20354290.41</v>
      </c>
      <c r="N154" s="38">
        <f t="shared" si="71"/>
        <v>54444742.41</v>
      </c>
      <c r="O154" s="32">
        <v>40631453</v>
      </c>
      <c r="P154" s="45"/>
    </row>
    <row r="155" spans="1:16" ht="15.75" customHeight="1">
      <c r="A155" s="39">
        <v>15</v>
      </c>
      <c r="B155" s="31" t="s">
        <v>70</v>
      </c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>
        <v>10491102</v>
      </c>
      <c r="N155" s="38">
        <f t="shared" si="71"/>
        <v>10491102</v>
      </c>
      <c r="O155" s="32">
        <v>9986094.31</v>
      </c>
      <c r="P155" s="45"/>
    </row>
    <row r="156" spans="1:16" ht="15.75" customHeight="1">
      <c r="A156" s="39">
        <v>16</v>
      </c>
      <c r="B156" s="31" t="s">
        <v>9</v>
      </c>
      <c r="C156" s="40">
        <v>291492</v>
      </c>
      <c r="D156" s="40">
        <v>6829</v>
      </c>
      <c r="E156" s="40">
        <v>1890113</v>
      </c>
      <c r="F156" s="40">
        <v>62568</v>
      </c>
      <c r="G156" s="40">
        <v>4542</v>
      </c>
      <c r="H156" s="40"/>
      <c r="I156" s="40">
        <f>1693900+371308</f>
        <v>2065208</v>
      </c>
      <c r="J156" s="40"/>
      <c r="K156" s="40">
        <f>77488+54585</f>
        <v>132073</v>
      </c>
      <c r="L156" s="40"/>
      <c r="M156" s="40">
        <f>170133</f>
        <v>170133</v>
      </c>
      <c r="N156" s="38">
        <f t="shared" si="71"/>
        <v>4622958</v>
      </c>
      <c r="O156" s="32">
        <v>4582776</v>
      </c>
      <c r="P156" s="45"/>
    </row>
    <row r="157" spans="1:16" ht="15.75" customHeight="1">
      <c r="A157" s="39">
        <v>17</v>
      </c>
      <c r="B157" s="31" t="s">
        <v>51</v>
      </c>
      <c r="C157" s="40">
        <v>93518.298</v>
      </c>
      <c r="D157" s="40"/>
      <c r="E157" s="40">
        <v>3673.226</v>
      </c>
      <c r="F157" s="40">
        <v>4674.309</v>
      </c>
      <c r="G157" s="40">
        <v>896.104</v>
      </c>
      <c r="H157" s="40"/>
      <c r="I157" s="40">
        <v>715152.432</v>
      </c>
      <c r="J157" s="40">
        <v>55393.452</v>
      </c>
      <c r="K157" s="40"/>
      <c r="L157" s="40"/>
      <c r="M157" s="40">
        <f>4574.113+59123.313</f>
        <v>63697.426</v>
      </c>
      <c r="N157" s="38">
        <f t="shared" si="71"/>
        <v>937005.2470000001</v>
      </c>
      <c r="O157" s="32">
        <v>1075486.06</v>
      </c>
      <c r="P157" s="45"/>
    </row>
    <row r="158" spans="1:16" ht="15.75" customHeight="1">
      <c r="A158" s="39">
        <v>18</v>
      </c>
      <c r="B158" s="165" t="s">
        <v>128</v>
      </c>
      <c r="C158" s="40">
        <v>99322.055</v>
      </c>
      <c r="D158" s="40">
        <v>0</v>
      </c>
      <c r="E158" s="40">
        <v>0</v>
      </c>
      <c r="F158" s="40">
        <v>102173.766</v>
      </c>
      <c r="G158" s="40">
        <v>18269.61</v>
      </c>
      <c r="H158" s="40">
        <f>49694.585+261.704</f>
        <v>49956.289</v>
      </c>
      <c r="I158" s="40">
        <f>511521.796</f>
        <v>511521.796</v>
      </c>
      <c r="J158" s="40">
        <v>163062.055</v>
      </c>
      <c r="K158" s="40">
        <v>39431.733</v>
      </c>
      <c r="L158" s="40">
        <v>0</v>
      </c>
      <c r="M158" s="40">
        <f>75102.681+326159.171</f>
        <v>401261.85199999996</v>
      </c>
      <c r="N158" s="38">
        <f t="shared" si="71"/>
        <v>1384999.156</v>
      </c>
      <c r="O158" s="32">
        <v>1324085.031</v>
      </c>
      <c r="P158" s="45"/>
    </row>
    <row r="159" spans="1:16" s="23" customFormat="1" ht="15.75" customHeight="1">
      <c r="A159" s="39">
        <v>19</v>
      </c>
      <c r="B159" s="31" t="s">
        <v>53</v>
      </c>
      <c r="C159" s="40">
        <f>236479+2310697</f>
        <v>2547176</v>
      </c>
      <c r="D159" s="40">
        <v>1190724</v>
      </c>
      <c r="E159" s="40">
        <v>6950398</v>
      </c>
      <c r="F159" s="40">
        <v>808100</v>
      </c>
      <c r="G159" s="40">
        <v>998620</v>
      </c>
      <c r="H159" s="40">
        <v>325528</v>
      </c>
      <c r="I159" s="40">
        <f>7368144+11922799</f>
        <v>19290943</v>
      </c>
      <c r="J159" s="40"/>
      <c r="K159" s="40">
        <v>365311</v>
      </c>
      <c r="L159" s="40"/>
      <c r="M159" s="40">
        <v>437609</v>
      </c>
      <c r="N159" s="38">
        <f>SUM(C159:M159)</f>
        <v>32914409</v>
      </c>
      <c r="O159" s="273">
        <v>30850565</v>
      </c>
      <c r="P159" s="253"/>
    </row>
    <row r="160" spans="1:16" ht="15.75" customHeight="1">
      <c r="A160" s="39">
        <v>20</v>
      </c>
      <c r="B160" s="31" t="s">
        <v>74</v>
      </c>
      <c r="C160" s="41">
        <v>512092</v>
      </c>
      <c r="D160" s="41"/>
      <c r="E160" s="41">
        <v>191122</v>
      </c>
      <c r="F160" s="41">
        <v>278089</v>
      </c>
      <c r="G160" s="41">
        <v>19860</v>
      </c>
      <c r="H160" s="41">
        <v>1172114</v>
      </c>
      <c r="I160" s="41">
        <v>4143321</v>
      </c>
      <c r="J160" s="41">
        <v>17681</v>
      </c>
      <c r="K160" s="41">
        <v>140898</v>
      </c>
      <c r="L160" s="46"/>
      <c r="M160" s="41">
        <v>551328</v>
      </c>
      <c r="N160" s="38">
        <f t="shared" si="71"/>
        <v>7026505</v>
      </c>
      <c r="O160" s="273">
        <v>6745702</v>
      </c>
      <c r="P160" s="253"/>
    </row>
    <row r="161" spans="1:16" ht="15.75" customHeight="1">
      <c r="A161" s="39">
        <v>21</v>
      </c>
      <c r="B161" s="31" t="s">
        <v>118</v>
      </c>
      <c r="C161" s="41">
        <f>17978+193970</f>
        <v>211948</v>
      </c>
      <c r="D161" s="41">
        <v>82340</v>
      </c>
      <c r="E161" s="41">
        <v>22779</v>
      </c>
      <c r="F161" s="41">
        <v>390215</v>
      </c>
      <c r="G161" s="41">
        <v>57336</v>
      </c>
      <c r="H161" s="41">
        <f>86+244797</f>
        <v>244883</v>
      </c>
      <c r="I161" s="41">
        <f>397550+246990</f>
        <v>644540</v>
      </c>
      <c r="J161" s="41">
        <v>4096</v>
      </c>
      <c r="K161" s="41">
        <v>76385</v>
      </c>
      <c r="L161" s="46"/>
      <c r="M161" s="41">
        <v>-4141</v>
      </c>
      <c r="N161" s="38">
        <f t="shared" si="71"/>
        <v>1730381</v>
      </c>
      <c r="O161" s="273">
        <v>981.9680000000002</v>
      </c>
      <c r="P161" s="253"/>
    </row>
    <row r="162" spans="1:16" ht="15.75" customHeight="1">
      <c r="A162" s="42"/>
      <c r="B162" s="43" t="s">
        <v>10</v>
      </c>
      <c r="C162" s="43">
        <f>SUM(C141:C161)</f>
        <v>24925818.004935645</v>
      </c>
      <c r="D162" s="43">
        <f aca="true" t="shared" si="72" ref="D162:O162">SUM(D141:D161)</f>
        <v>6421663.394871275</v>
      </c>
      <c r="E162" s="43">
        <f t="shared" si="72"/>
        <v>29055346.66482062</v>
      </c>
      <c r="F162" s="43">
        <f t="shared" si="72"/>
        <v>7619133.126661733</v>
      </c>
      <c r="G162" s="43">
        <f t="shared" si="72"/>
        <v>4903411.2431202615</v>
      </c>
      <c r="H162" s="43">
        <f t="shared" si="72"/>
        <v>12566974.213310577</v>
      </c>
      <c r="I162" s="43">
        <f t="shared" si="72"/>
        <v>128121461.36128442</v>
      </c>
      <c r="J162" s="43">
        <f t="shared" si="72"/>
        <v>3125019.29449932</v>
      </c>
      <c r="K162" s="43">
        <f t="shared" si="72"/>
        <v>7919446.353412584</v>
      </c>
      <c r="L162" s="43">
        <f t="shared" si="72"/>
        <v>69183848</v>
      </c>
      <c r="M162" s="43">
        <f t="shared" si="72"/>
        <v>44862228.133249365</v>
      </c>
      <c r="N162" s="43">
        <f t="shared" si="72"/>
        <v>338704349.7901658</v>
      </c>
      <c r="O162" s="43">
        <f t="shared" si="72"/>
        <v>308017220.694</v>
      </c>
      <c r="P162" s="58"/>
    </row>
    <row r="167" ht="15.75" customHeight="1">
      <c r="E167" s="34" t="s">
        <v>135</v>
      </c>
    </row>
    <row r="168" ht="15.75" customHeight="1">
      <c r="L168" s="34" t="s">
        <v>35</v>
      </c>
    </row>
    <row r="169" spans="1:16" ht="15.75" customHeight="1" thickBot="1">
      <c r="A169" s="38" t="s">
        <v>85</v>
      </c>
      <c r="B169" s="38" t="s">
        <v>0</v>
      </c>
      <c r="C169" s="38" t="s">
        <v>11</v>
      </c>
      <c r="D169" s="38" t="s">
        <v>14</v>
      </c>
      <c r="E169" s="38" t="s">
        <v>16</v>
      </c>
      <c r="F169" s="38" t="s">
        <v>13</v>
      </c>
      <c r="G169" s="38" t="s">
        <v>48</v>
      </c>
      <c r="H169" s="38" t="s">
        <v>49</v>
      </c>
      <c r="I169" s="38" t="s">
        <v>12</v>
      </c>
      <c r="J169" s="38" t="s">
        <v>17</v>
      </c>
      <c r="K169" s="38" t="s">
        <v>15</v>
      </c>
      <c r="L169" s="38" t="s">
        <v>66</v>
      </c>
      <c r="M169" s="31" t="s">
        <v>18</v>
      </c>
      <c r="N169" s="299" t="s">
        <v>127</v>
      </c>
      <c r="O169" s="45" t="s">
        <v>122</v>
      </c>
      <c r="P169" s="45"/>
    </row>
    <row r="170" spans="1:16" ht="15.75" customHeight="1">
      <c r="A170" s="39">
        <v>1</v>
      </c>
      <c r="B170" s="31" t="s">
        <v>1</v>
      </c>
      <c r="C170" s="31">
        <v>1348971</v>
      </c>
      <c r="D170" s="31">
        <v>-24704</v>
      </c>
      <c r="E170" s="31">
        <v>868559</v>
      </c>
      <c r="F170" s="31">
        <v>751887</v>
      </c>
      <c r="G170" s="31">
        <v>290092</v>
      </c>
      <c r="H170" s="31">
        <v>1178925</v>
      </c>
      <c r="I170" s="31">
        <v>9459015</v>
      </c>
      <c r="J170" s="31">
        <v>35826</v>
      </c>
      <c r="K170" s="31">
        <v>-66711</v>
      </c>
      <c r="L170" s="31">
        <v>15775108</v>
      </c>
      <c r="M170" s="31">
        <f>-54133+3114192</f>
        <v>3060059</v>
      </c>
      <c r="N170" s="38">
        <f aca="true" t="shared" si="73" ref="N170:N190">SUM(C170:M170)</f>
        <v>32677027</v>
      </c>
      <c r="O170" s="32">
        <v>27142643.807</v>
      </c>
      <c r="P170" s="45"/>
    </row>
    <row r="171" spans="1:16" ht="15.75" customHeight="1">
      <c r="A171" s="39">
        <v>2</v>
      </c>
      <c r="B171" s="31" t="s">
        <v>56</v>
      </c>
      <c r="C171" s="31">
        <v>-47793</v>
      </c>
      <c r="D171" s="31">
        <v>8574</v>
      </c>
      <c r="E171" s="31">
        <v>450187</v>
      </c>
      <c r="F171" s="31"/>
      <c r="G171" s="31">
        <f>-205144+531522</f>
        <v>326378</v>
      </c>
      <c r="H171" s="31">
        <v>66904</v>
      </c>
      <c r="I171" s="31">
        <v>149103</v>
      </c>
      <c r="J171" s="31"/>
      <c r="K171" s="31"/>
      <c r="L171" s="31"/>
      <c r="M171" s="31">
        <v>-803</v>
      </c>
      <c r="N171" s="38">
        <f>SUM(C171:M171)</f>
        <v>952550</v>
      </c>
      <c r="O171" s="32">
        <v>1220462</v>
      </c>
      <c r="P171" s="45"/>
    </row>
    <row r="172" spans="1:16" ht="15.75" customHeight="1">
      <c r="A172" s="39">
        <v>3</v>
      </c>
      <c r="B172" s="31" t="s">
        <v>2</v>
      </c>
      <c r="C172" s="31">
        <f>143298+1529233</f>
        <v>1672531</v>
      </c>
      <c r="D172" s="31">
        <f>830411</f>
        <v>830411</v>
      </c>
      <c r="E172" s="31">
        <f>1666133</f>
        <v>1666133</v>
      </c>
      <c r="F172" s="31">
        <f>1036766</f>
        <v>1036766</v>
      </c>
      <c r="G172" s="31">
        <f>-246211</f>
        <v>-246211</v>
      </c>
      <c r="H172" s="31">
        <f>-9141</f>
        <v>-9141</v>
      </c>
      <c r="I172" s="31">
        <f>3468957+2498623</f>
        <v>5967580</v>
      </c>
      <c r="J172" s="31">
        <v>0</v>
      </c>
      <c r="K172" s="31">
        <f>576405</f>
        <v>576405</v>
      </c>
      <c r="L172" s="31">
        <v>40088225</v>
      </c>
      <c r="M172" s="31">
        <f>-767291</f>
        <v>-767291</v>
      </c>
      <c r="N172" s="38">
        <f t="shared" si="73"/>
        <v>50815408</v>
      </c>
      <c r="O172" s="32">
        <v>43304574</v>
      </c>
      <c r="P172" s="45"/>
    </row>
    <row r="173" spans="1:16" ht="15.75" customHeight="1">
      <c r="A173" s="39">
        <v>4</v>
      </c>
      <c r="B173" s="31" t="s">
        <v>83</v>
      </c>
      <c r="C173" s="31">
        <v>167653</v>
      </c>
      <c r="D173" s="31">
        <v>17962</v>
      </c>
      <c r="E173" s="31">
        <v>141264</v>
      </c>
      <c r="F173" s="31">
        <v>575477</v>
      </c>
      <c r="G173" s="31">
        <v>67729</v>
      </c>
      <c r="H173" s="31">
        <f>65154+22628</f>
        <v>87782</v>
      </c>
      <c r="I173" s="31"/>
      <c r="J173" s="31">
        <v>1152252</v>
      </c>
      <c r="K173" s="31">
        <f>38064+28979</f>
        <v>67043</v>
      </c>
      <c r="L173" s="31"/>
      <c r="M173" s="31">
        <v>561682</v>
      </c>
      <c r="N173" s="38">
        <f t="shared" si="73"/>
        <v>2838844</v>
      </c>
      <c r="O173" s="32">
        <v>1436939</v>
      </c>
      <c r="P173" s="45"/>
    </row>
    <row r="174" spans="1:16" ht="15.75" customHeight="1">
      <c r="A174" s="39">
        <v>5</v>
      </c>
      <c r="B174" s="31" t="s">
        <v>3</v>
      </c>
      <c r="C174" s="31">
        <v>456543.121</v>
      </c>
      <c r="D174" s="31">
        <v>1809.519</v>
      </c>
      <c r="E174" s="31">
        <v>66023.617</v>
      </c>
      <c r="F174" s="31">
        <v>64855.248</v>
      </c>
      <c r="G174" s="31">
        <v>187177.717</v>
      </c>
      <c r="H174" s="31">
        <v>168280.874</v>
      </c>
      <c r="I174" s="31">
        <v>1434896.639</v>
      </c>
      <c r="J174" s="31"/>
      <c r="K174" s="31">
        <f>122019.169+67164.458</f>
        <v>189183.62699999998</v>
      </c>
      <c r="L174" s="31"/>
      <c r="M174" s="31">
        <v>75433.708</v>
      </c>
      <c r="N174" s="38">
        <f t="shared" si="73"/>
        <v>2644204.0700000003</v>
      </c>
      <c r="O174" s="32">
        <v>1664467.2049999998</v>
      </c>
      <c r="P174" s="45"/>
    </row>
    <row r="175" spans="1:16" ht="15.75" customHeight="1">
      <c r="A175" s="39">
        <v>6</v>
      </c>
      <c r="B175" s="45" t="s">
        <v>111</v>
      </c>
      <c r="C175" s="31">
        <v>546729</v>
      </c>
      <c r="D175" s="31"/>
      <c r="E175" s="31">
        <v>1641747</v>
      </c>
      <c r="F175" s="31"/>
      <c r="G175" s="31"/>
      <c r="H175" s="31">
        <f>17707+0</f>
        <v>17707</v>
      </c>
      <c r="I175" s="31">
        <v>1649757</v>
      </c>
      <c r="J175" s="31"/>
      <c r="K175" s="31"/>
      <c r="L175" s="31"/>
      <c r="M175" s="31"/>
      <c r="N175" s="38">
        <f t="shared" si="73"/>
        <v>3855940</v>
      </c>
      <c r="O175" s="32">
        <v>5620084</v>
      </c>
      <c r="P175" s="45"/>
    </row>
    <row r="176" spans="1:16" ht="15.75" customHeight="1">
      <c r="A176" s="39">
        <v>7</v>
      </c>
      <c r="B176" s="31" t="s">
        <v>7</v>
      </c>
      <c r="C176" s="31">
        <v>214180</v>
      </c>
      <c r="D176" s="31">
        <v>-266043</v>
      </c>
      <c r="E176" s="31">
        <v>572709</v>
      </c>
      <c r="F176" s="31">
        <v>168162</v>
      </c>
      <c r="G176" s="31">
        <v>-51685</v>
      </c>
      <c r="H176" s="31">
        <v>-43822</v>
      </c>
      <c r="I176" s="31">
        <v>1679172</v>
      </c>
      <c r="J176" s="31">
        <v>71380</v>
      </c>
      <c r="K176" s="31">
        <v>109286</v>
      </c>
      <c r="L176" s="31">
        <v>432121</v>
      </c>
      <c r="M176" s="31">
        <v>9252</v>
      </c>
      <c r="N176" s="38">
        <f t="shared" si="73"/>
        <v>2894712</v>
      </c>
      <c r="O176" s="32">
        <v>5848296.36509</v>
      </c>
      <c r="P176" s="45"/>
    </row>
    <row r="177" spans="1:16" ht="15.75" customHeight="1">
      <c r="A177" s="39">
        <v>8</v>
      </c>
      <c r="B177" s="31" t="s">
        <v>19</v>
      </c>
      <c r="C177" s="31">
        <v>-93090.457</v>
      </c>
      <c r="D177" s="31">
        <v>0</v>
      </c>
      <c r="E177" s="31">
        <v>53121.266</v>
      </c>
      <c r="F177" s="31">
        <v>-37413.206</v>
      </c>
      <c r="G177" s="31">
        <v>101289.577</v>
      </c>
      <c r="H177" s="31">
        <v>-372978.619</v>
      </c>
      <c r="I177" s="31">
        <v>1203077.544</v>
      </c>
      <c r="J177" s="31">
        <v>266166</v>
      </c>
      <c r="K177" s="31">
        <v>4064.198</v>
      </c>
      <c r="L177" s="31">
        <v>0</v>
      </c>
      <c r="M177" s="31">
        <v>50603.753</v>
      </c>
      <c r="N177" s="38">
        <f t="shared" si="73"/>
        <v>1174840.056</v>
      </c>
      <c r="O177" s="32">
        <v>866689</v>
      </c>
      <c r="P177" s="45"/>
    </row>
    <row r="178" spans="1:16" ht="15.75" customHeight="1">
      <c r="A178" s="39">
        <v>9</v>
      </c>
      <c r="B178" s="31" t="s">
        <v>8</v>
      </c>
      <c r="C178" s="31">
        <v>277427</v>
      </c>
      <c r="D178" s="31">
        <v>0</v>
      </c>
      <c r="E178" s="31">
        <v>-1779</v>
      </c>
      <c r="F178" s="31">
        <v>305355</v>
      </c>
      <c r="G178" s="31">
        <v>3631</v>
      </c>
      <c r="H178" s="31">
        <v>173840</v>
      </c>
      <c r="I178" s="31">
        <v>911838</v>
      </c>
      <c r="J178" s="31">
        <v>4501</v>
      </c>
      <c r="K178" s="31">
        <v>-211132</v>
      </c>
      <c r="L178" s="31">
        <v>0</v>
      </c>
      <c r="M178" s="40">
        <v>62005</v>
      </c>
      <c r="N178" s="38">
        <f t="shared" si="73"/>
        <v>1525686</v>
      </c>
      <c r="O178" s="32">
        <v>414062</v>
      </c>
      <c r="P178" s="45"/>
    </row>
    <row r="179" spans="1:16" ht="15.75" customHeight="1">
      <c r="A179" s="39">
        <v>10</v>
      </c>
      <c r="B179" s="31" t="s">
        <v>50</v>
      </c>
      <c r="C179" s="31">
        <v>-48243</v>
      </c>
      <c r="D179" s="31">
        <v>3888</v>
      </c>
      <c r="E179" s="31">
        <v>-65510</v>
      </c>
      <c r="F179" s="31"/>
      <c r="G179" s="31">
        <v>420</v>
      </c>
      <c r="H179" s="31">
        <v>23126</v>
      </c>
      <c r="I179" s="31">
        <f>2194408+35058</f>
        <v>2229466</v>
      </c>
      <c r="J179" s="31">
        <v>230</v>
      </c>
      <c r="K179" s="31"/>
      <c r="L179" s="31"/>
      <c r="M179" s="31">
        <f>177251+107009</f>
        <v>284260</v>
      </c>
      <c r="N179" s="38">
        <f t="shared" si="73"/>
        <v>2427637</v>
      </c>
      <c r="O179" s="32">
        <v>2340277.57</v>
      </c>
      <c r="P179" s="45"/>
    </row>
    <row r="180" spans="1:16" ht="15.75" customHeight="1">
      <c r="A180" s="39">
        <v>11</v>
      </c>
      <c r="B180" s="31" t="s">
        <v>4</v>
      </c>
      <c r="C180" s="31">
        <v>19771.7896342</v>
      </c>
      <c r="D180" s="31">
        <v>-882.9639523999999</v>
      </c>
      <c r="E180" s="31">
        <v>-4761.2072854</v>
      </c>
      <c r="F180" s="31">
        <v>12291.699999999997</v>
      </c>
      <c r="G180" s="31">
        <v>0</v>
      </c>
      <c r="H180" s="31">
        <v>0</v>
      </c>
      <c r="I180" s="31">
        <v>1076797.9414546</v>
      </c>
      <c r="J180" s="31">
        <v>0</v>
      </c>
      <c r="K180" s="31">
        <v>128630.67848009997</v>
      </c>
      <c r="L180" s="31">
        <v>0</v>
      </c>
      <c r="M180" s="31">
        <v>18526.8524577</v>
      </c>
      <c r="N180" s="38">
        <f t="shared" si="73"/>
        <v>1250374.7907888</v>
      </c>
      <c r="O180" s="32">
        <v>1549015.46</v>
      </c>
      <c r="P180" s="45"/>
    </row>
    <row r="181" spans="1:16" ht="15.75" customHeight="1">
      <c r="A181" s="39">
        <v>12</v>
      </c>
      <c r="B181" s="31" t="s">
        <v>6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>
        <v>1056695</v>
      </c>
      <c r="N181" s="38">
        <f t="shared" si="73"/>
        <v>1056695</v>
      </c>
      <c r="O181" s="32">
        <v>560045</v>
      </c>
      <c r="P181" s="45"/>
    </row>
    <row r="182" spans="1:16" ht="15.75" customHeight="1">
      <c r="A182" s="39">
        <v>13</v>
      </c>
      <c r="B182" s="31" t="s">
        <v>37</v>
      </c>
      <c r="C182" s="31">
        <v>729654</v>
      </c>
      <c r="D182" s="31">
        <v>1329745</v>
      </c>
      <c r="E182" s="31">
        <v>367151</v>
      </c>
      <c r="F182" s="31">
        <v>441799</v>
      </c>
      <c r="G182" s="31">
        <v>45587</v>
      </c>
      <c r="H182" s="31">
        <v>335692</v>
      </c>
      <c r="I182" s="31">
        <f>1703815+1256969</f>
        <v>2960784</v>
      </c>
      <c r="J182" s="31"/>
      <c r="K182" s="31">
        <v>279253</v>
      </c>
      <c r="L182" s="31"/>
      <c r="M182" s="31">
        <f>17233+284268+6896</f>
        <v>308397</v>
      </c>
      <c r="N182" s="38">
        <f>SUM(C182:M182)</f>
        <v>6798062</v>
      </c>
      <c r="O182" s="32">
        <v>3783099</v>
      </c>
      <c r="P182" s="45"/>
    </row>
    <row r="183" spans="1:16" ht="15.75" customHeight="1">
      <c r="A183" s="39">
        <v>14</v>
      </c>
      <c r="B183" s="31" t="s">
        <v>69</v>
      </c>
      <c r="C183" s="31">
        <v>-2054757</v>
      </c>
      <c r="D183" s="31">
        <v>0</v>
      </c>
      <c r="E183" s="31">
        <v>0</v>
      </c>
      <c r="F183" s="31">
        <v>0</v>
      </c>
      <c r="G183" s="31">
        <v>38159</v>
      </c>
      <c r="H183" s="31">
        <f>191239+55575</f>
        <v>246814</v>
      </c>
      <c r="I183" s="31">
        <v>10120082</v>
      </c>
      <c r="J183" s="31">
        <v>804830</v>
      </c>
      <c r="K183" s="31">
        <v>346649</v>
      </c>
      <c r="L183" s="31">
        <v>0</v>
      </c>
      <c r="M183" s="31">
        <v>4406575</v>
      </c>
      <c r="N183" s="38">
        <f t="shared" si="73"/>
        <v>13908352</v>
      </c>
      <c r="O183" s="32">
        <v>10263606</v>
      </c>
      <c r="P183" s="45"/>
    </row>
    <row r="184" spans="1:16" ht="15.75" customHeight="1">
      <c r="A184" s="39">
        <v>15</v>
      </c>
      <c r="B184" s="31" t="s">
        <v>70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>
        <v>7099182</v>
      </c>
      <c r="N184" s="38">
        <f t="shared" si="73"/>
        <v>7099182</v>
      </c>
      <c r="O184" s="32">
        <v>3553534.2000000007</v>
      </c>
      <c r="P184" s="45"/>
    </row>
    <row r="185" spans="1:16" ht="15.75" customHeight="1">
      <c r="A185" s="39">
        <v>16</v>
      </c>
      <c r="B185" s="31" t="s">
        <v>9</v>
      </c>
      <c r="C185" s="31">
        <v>31313</v>
      </c>
      <c r="D185" s="31"/>
      <c r="E185" s="31">
        <v>184650</v>
      </c>
      <c r="F185" s="31">
        <v>49375</v>
      </c>
      <c r="G185" s="31"/>
      <c r="H185" s="31"/>
      <c r="I185" s="31">
        <f>609639</f>
        <v>609639</v>
      </c>
      <c r="J185" s="31"/>
      <c r="K185" s="31">
        <f>383+1980</f>
        <v>2363</v>
      </c>
      <c r="L185" s="31"/>
      <c r="M185" s="31">
        <f>31863</f>
        <v>31863</v>
      </c>
      <c r="N185" s="38">
        <f>SUM(C185:M185)</f>
        <v>909203</v>
      </c>
      <c r="O185" s="32">
        <v>1270937</v>
      </c>
      <c r="P185" s="45"/>
    </row>
    <row r="186" spans="1:16" ht="15.75" customHeight="1">
      <c r="A186" s="39">
        <v>17</v>
      </c>
      <c r="B186" s="31" t="s">
        <v>51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79133.352</v>
      </c>
      <c r="J186" s="31">
        <v>0</v>
      </c>
      <c r="K186" s="31">
        <v>0</v>
      </c>
      <c r="L186" s="31">
        <v>0</v>
      </c>
      <c r="M186" s="31">
        <v>0</v>
      </c>
      <c r="N186" s="38">
        <f t="shared" si="73"/>
        <v>79133.352</v>
      </c>
      <c r="O186" s="32">
        <v>55636.08</v>
      </c>
      <c r="P186" s="45"/>
    </row>
    <row r="187" spans="1:16" ht="15.75" customHeight="1">
      <c r="A187" s="39">
        <v>18</v>
      </c>
      <c r="B187" s="165" t="s">
        <v>128</v>
      </c>
      <c r="C187" s="31">
        <v>61078.165</v>
      </c>
      <c r="D187" s="31">
        <v>0</v>
      </c>
      <c r="E187" s="31">
        <f>0</f>
        <v>0</v>
      </c>
      <c r="F187" s="31">
        <v>20727.463</v>
      </c>
      <c r="G187" s="31">
        <v>210.5</v>
      </c>
      <c r="H187" s="31">
        <f>51061.668</f>
        <v>51061.668</v>
      </c>
      <c r="I187" s="31">
        <f>137360.067</f>
        <v>137360.067</v>
      </c>
      <c r="J187" s="31">
        <v>0</v>
      </c>
      <c r="K187" s="31">
        <f>9368.859</f>
        <v>9368.859</v>
      </c>
      <c r="L187" s="31">
        <v>0</v>
      </c>
      <c r="M187" s="31">
        <f>45220.416+18344.774</f>
        <v>63565.19</v>
      </c>
      <c r="N187" s="38">
        <f t="shared" si="73"/>
        <v>343371.912</v>
      </c>
      <c r="O187" s="32">
        <v>289665.91500000004</v>
      </c>
      <c r="P187" s="45"/>
    </row>
    <row r="188" spans="1:16" s="23" customFormat="1" ht="15.75" customHeight="1">
      <c r="A188" s="39">
        <v>19</v>
      </c>
      <c r="B188" s="31" t="s">
        <v>53</v>
      </c>
      <c r="C188" s="52">
        <f>180792+590450</f>
        <v>771242</v>
      </c>
      <c r="D188" s="52">
        <v>197374</v>
      </c>
      <c r="E188" s="52">
        <v>2382215</v>
      </c>
      <c r="F188" s="52">
        <v>298969</v>
      </c>
      <c r="G188" s="52">
        <v>119265</v>
      </c>
      <c r="H188" s="52">
        <f>106175+111383</f>
        <v>217558</v>
      </c>
      <c r="I188" s="52">
        <f>3285988+5324811</f>
        <v>8610799</v>
      </c>
      <c r="J188" s="52"/>
      <c r="K188" s="52">
        <v>536563</v>
      </c>
      <c r="L188" s="31"/>
      <c r="M188" s="52">
        <v>174733</v>
      </c>
      <c r="N188" s="38">
        <f t="shared" si="73"/>
        <v>13308718</v>
      </c>
      <c r="O188" s="273">
        <v>10899556</v>
      </c>
      <c r="P188" s="253"/>
    </row>
    <row r="189" spans="1:16" ht="15.75" customHeight="1">
      <c r="A189" s="39">
        <v>20</v>
      </c>
      <c r="B189" s="31" t="s">
        <v>74</v>
      </c>
      <c r="C189" s="52">
        <v>64435</v>
      </c>
      <c r="D189" s="52"/>
      <c r="E189" s="52">
        <v>49622</v>
      </c>
      <c r="F189" s="52">
        <v>165967</v>
      </c>
      <c r="G189" s="52">
        <v>-13936</v>
      </c>
      <c r="H189" s="52">
        <v>170778</v>
      </c>
      <c r="I189" s="52">
        <v>1383462</v>
      </c>
      <c r="J189" s="52"/>
      <c r="K189" s="52">
        <v>108571</v>
      </c>
      <c r="L189" s="31"/>
      <c r="M189" s="52">
        <v>187903</v>
      </c>
      <c r="N189" s="38">
        <f t="shared" si="73"/>
        <v>2116802</v>
      </c>
      <c r="O189" s="273">
        <v>1899275.94</v>
      </c>
      <c r="P189" s="253"/>
    </row>
    <row r="190" spans="1:16" ht="15.75" customHeight="1">
      <c r="A190" s="39">
        <v>21</v>
      </c>
      <c r="B190" s="31" t="s">
        <v>118</v>
      </c>
      <c r="C190" s="52">
        <f>3889+29982</f>
        <v>33871</v>
      </c>
      <c r="D190" s="52">
        <v>-192078</v>
      </c>
      <c r="E190" s="52">
        <v>9686</v>
      </c>
      <c r="F190" s="52">
        <v>95454</v>
      </c>
      <c r="G190" s="52">
        <v>11904</v>
      </c>
      <c r="H190" s="52">
        <f>134-68168</f>
        <v>-68034</v>
      </c>
      <c r="I190" s="52">
        <f>192506+95638</f>
        <v>288144</v>
      </c>
      <c r="J190" s="52">
        <v>6051</v>
      </c>
      <c r="K190" s="52">
        <v>90144</v>
      </c>
      <c r="L190" s="273"/>
      <c r="M190" s="52">
        <v>11</v>
      </c>
      <c r="N190" s="38">
        <f t="shared" si="73"/>
        <v>275153</v>
      </c>
      <c r="O190" s="273">
        <v>2604</v>
      </c>
      <c r="P190" s="253"/>
    </row>
    <row r="191" spans="1:16" ht="15.75" customHeight="1">
      <c r="A191" s="42"/>
      <c r="B191" s="43" t="s">
        <v>10</v>
      </c>
      <c r="C191" s="43">
        <f>SUM(C170:C190)</f>
        <v>4151515.618634199</v>
      </c>
      <c r="D191" s="43">
        <f aca="true" t="shared" si="74" ref="D191:O191">SUM(D170:D190)</f>
        <v>1906055.5550476</v>
      </c>
      <c r="E191" s="43">
        <f t="shared" si="74"/>
        <v>8381017.675714601</v>
      </c>
      <c r="F191" s="43">
        <f t="shared" si="74"/>
        <v>3949672.2050000005</v>
      </c>
      <c r="G191" s="43">
        <f t="shared" si="74"/>
        <v>880010.794</v>
      </c>
      <c r="H191" s="43">
        <f t="shared" si="74"/>
        <v>2244492.9230000004</v>
      </c>
      <c r="I191" s="43">
        <f t="shared" si="74"/>
        <v>49950106.5434546</v>
      </c>
      <c r="J191" s="43">
        <f t="shared" si="74"/>
        <v>2341236</v>
      </c>
      <c r="K191" s="43">
        <f t="shared" si="74"/>
        <v>2169681.3624801002</v>
      </c>
      <c r="L191" s="43">
        <f t="shared" si="74"/>
        <v>56295454</v>
      </c>
      <c r="M191" s="43">
        <f t="shared" si="74"/>
        <v>16682652.503457699</v>
      </c>
      <c r="N191" s="43">
        <f>SUM(N170:N190)</f>
        <v>148951895.1807888</v>
      </c>
      <c r="O191" s="43">
        <f t="shared" si="74"/>
        <v>123985469.54208998</v>
      </c>
      <c r="P191" s="58"/>
    </row>
    <row r="195" ht="15.75" customHeight="1">
      <c r="E195" s="34" t="s">
        <v>136</v>
      </c>
    </row>
    <row r="196" spans="1:16" ht="15.75" customHeight="1" thickBot="1">
      <c r="A196" s="38" t="s">
        <v>85</v>
      </c>
      <c r="B196" s="38" t="s">
        <v>0</v>
      </c>
      <c r="C196" s="38" t="s">
        <v>11</v>
      </c>
      <c r="D196" s="38" t="s">
        <v>14</v>
      </c>
      <c r="E196" s="38" t="s">
        <v>16</v>
      </c>
      <c r="F196" s="38" t="s">
        <v>13</v>
      </c>
      <c r="G196" s="38" t="s">
        <v>48</v>
      </c>
      <c r="H196" s="38" t="s">
        <v>49</v>
      </c>
      <c r="I196" s="38" t="s">
        <v>12</v>
      </c>
      <c r="J196" s="38" t="s">
        <v>17</v>
      </c>
      <c r="K196" s="38" t="s">
        <v>15</v>
      </c>
      <c r="L196" s="38" t="s">
        <v>66</v>
      </c>
      <c r="M196" s="31" t="s">
        <v>18</v>
      </c>
      <c r="N196" s="299" t="s">
        <v>127</v>
      </c>
      <c r="O196" s="45" t="s">
        <v>122</v>
      </c>
      <c r="P196" s="45"/>
    </row>
    <row r="197" spans="1:16" ht="15.75" customHeight="1">
      <c r="A197" s="39">
        <v>1</v>
      </c>
      <c r="B197" s="31" t="s">
        <v>1</v>
      </c>
      <c r="C197" s="47">
        <f aca="true" t="shared" si="75" ref="C197:M197">_xlfn.IFERROR(((C170/C141))*100," ")</f>
        <v>44.04226581270501</v>
      </c>
      <c r="D197" s="47">
        <f t="shared" si="75"/>
        <v>-6.679807804105119</v>
      </c>
      <c r="E197" s="47">
        <f t="shared" si="75"/>
        <v>21.499847271103445</v>
      </c>
      <c r="F197" s="47">
        <f t="shared" si="75"/>
        <v>65.56957742253647</v>
      </c>
      <c r="G197" s="47">
        <f t="shared" si="75"/>
        <v>61.99315299759371</v>
      </c>
      <c r="H197" s="47">
        <f t="shared" si="75"/>
        <v>70.20285688424784</v>
      </c>
      <c r="I197" s="47">
        <f t="shared" si="75"/>
        <v>46.93103564956985</v>
      </c>
      <c r="J197" s="47">
        <f t="shared" si="75"/>
        <v>26.82289521955602</v>
      </c>
      <c r="K197" s="47">
        <f t="shared" si="75"/>
        <v>-16.426102115589174</v>
      </c>
      <c r="L197" s="47">
        <f t="shared" si="75"/>
        <v>88.88254085019244</v>
      </c>
      <c r="M197" s="47">
        <f t="shared" si="75"/>
        <v>110.02574049311436</v>
      </c>
      <c r="N197" s="48">
        <f>((N170/N141))*100</f>
        <v>62.85150686444945</v>
      </c>
      <c r="O197" s="49">
        <f>((O170/O141))*100</f>
        <v>50.703219729394846</v>
      </c>
      <c r="P197" s="254"/>
    </row>
    <row r="198" spans="1:16" ht="15.75" customHeight="1">
      <c r="A198" s="39">
        <v>2</v>
      </c>
      <c r="B198" s="31" t="s">
        <v>56</v>
      </c>
      <c r="C198" s="47">
        <f aca="true" t="shared" si="76" ref="C198:N198">_xlfn.IFERROR(((C171/C142))*100," ")</f>
        <v>-3002.072864321608</v>
      </c>
      <c r="D198" s="47">
        <f t="shared" si="76"/>
        <v>97.99977140244599</v>
      </c>
      <c r="E198" s="47" t="str">
        <f t="shared" si="76"/>
        <v> </v>
      </c>
      <c r="F198" s="47" t="str">
        <f t="shared" si="76"/>
        <v> </v>
      </c>
      <c r="G198" s="47">
        <f t="shared" si="76"/>
        <v>1170.0652470065247</v>
      </c>
      <c r="H198" s="47">
        <f t="shared" si="76"/>
        <v>1192.15965787598</v>
      </c>
      <c r="I198" s="47" t="str">
        <f t="shared" si="76"/>
        <v> </v>
      </c>
      <c r="J198" s="47" t="str">
        <f t="shared" si="76"/>
        <v> </v>
      </c>
      <c r="K198" s="47" t="str">
        <f t="shared" si="76"/>
        <v> </v>
      </c>
      <c r="L198" s="47" t="str">
        <f t="shared" si="76"/>
        <v> </v>
      </c>
      <c r="M198" s="47">
        <f t="shared" si="76"/>
        <v>-46.33583381419504</v>
      </c>
      <c r="N198" s="47">
        <f t="shared" si="76"/>
        <v>2089.8420359806933</v>
      </c>
      <c r="O198" s="49" t="e">
        <f aca="true" t="shared" si="77" ref="O198:O210">((O171/O142))*100</f>
        <v>#DIV/0!</v>
      </c>
      <c r="P198" s="254"/>
    </row>
    <row r="199" spans="1:16" ht="15.75" customHeight="1">
      <c r="A199" s="39">
        <v>3</v>
      </c>
      <c r="B199" s="31" t="s">
        <v>2</v>
      </c>
      <c r="C199" s="47">
        <f aca="true" t="shared" si="78" ref="C199:M199">_xlfn.IFERROR(((C172/C143))*100," ")</f>
        <v>35.16468752890915</v>
      </c>
      <c r="D199" s="47">
        <f t="shared" si="78"/>
        <v>33.73826296563691</v>
      </c>
      <c r="E199" s="47">
        <f t="shared" si="78"/>
        <v>22.35567917733374</v>
      </c>
      <c r="F199" s="47">
        <f t="shared" si="78"/>
        <v>88.38057404928948</v>
      </c>
      <c r="G199" s="47">
        <f t="shared" si="78"/>
        <v>-53.80602722961603</v>
      </c>
      <c r="H199" s="47">
        <f t="shared" si="78"/>
        <v>-0.9471999005238043</v>
      </c>
      <c r="I199" s="47">
        <f t="shared" si="78"/>
        <v>40.33636188264564</v>
      </c>
      <c r="J199" s="47" t="str">
        <f t="shared" si="78"/>
        <v> </v>
      </c>
      <c r="K199" s="47">
        <f t="shared" si="78"/>
        <v>26.50223225575076</v>
      </c>
      <c r="L199" s="47">
        <f t="shared" si="78"/>
        <v>79.56017213304709</v>
      </c>
      <c r="M199" s="47">
        <f t="shared" si="78"/>
        <v>-738.8596795316231</v>
      </c>
      <c r="N199" s="48">
        <f aca="true" t="shared" si="79" ref="N199:N206">((N172/N143))*100</f>
        <v>59.97560795144478</v>
      </c>
      <c r="O199" s="49">
        <f t="shared" si="77"/>
        <v>54.989594477179615</v>
      </c>
      <c r="P199" s="254"/>
    </row>
    <row r="200" spans="1:16" ht="15.75" customHeight="1">
      <c r="A200" s="39">
        <v>4</v>
      </c>
      <c r="B200" s="31" t="s">
        <v>83</v>
      </c>
      <c r="C200" s="47">
        <f aca="true" t="shared" si="80" ref="C200:M200">_xlfn.IFERROR(((C173/C144))*100," ")</f>
        <v>10.75419800712529</v>
      </c>
      <c r="D200" s="47">
        <f t="shared" si="80"/>
        <v>21.816812622220063</v>
      </c>
      <c r="E200" s="47">
        <f t="shared" si="80"/>
        <v>16.658903109628895</v>
      </c>
      <c r="F200" s="47">
        <f t="shared" si="80"/>
        <v>86.386815238913</v>
      </c>
      <c r="G200" s="47">
        <f t="shared" si="80"/>
        <v>59.2585787530404</v>
      </c>
      <c r="H200" s="47">
        <f t="shared" si="80"/>
        <v>11.736722616943387</v>
      </c>
      <c r="I200" s="47">
        <f t="shared" si="80"/>
        <v>0</v>
      </c>
      <c r="J200" s="47">
        <f t="shared" si="80"/>
        <v>8525.096182302457</v>
      </c>
      <c r="K200" s="47">
        <f t="shared" si="80"/>
        <v>47.41841483598093</v>
      </c>
      <c r="L200" s="47" t="str">
        <f t="shared" si="80"/>
        <v> </v>
      </c>
      <c r="M200" s="47">
        <f t="shared" si="80"/>
        <v>38.46999969864087</v>
      </c>
      <c r="N200" s="48">
        <f t="shared" si="79"/>
        <v>28.65957389887026</v>
      </c>
      <c r="O200" s="49">
        <f t="shared" si="77"/>
        <v>20.447772578102565</v>
      </c>
      <c r="P200" s="254"/>
    </row>
    <row r="201" spans="1:16" ht="15.75" customHeight="1">
      <c r="A201" s="39">
        <v>5</v>
      </c>
      <c r="B201" s="31" t="s">
        <v>3</v>
      </c>
      <c r="C201" s="47">
        <f aca="true" t="shared" si="81" ref="C201:M201">_xlfn.IFERROR(((C174/C145))*100," ")</f>
        <v>172.6082927967113</v>
      </c>
      <c r="D201" s="47">
        <f t="shared" si="81"/>
        <v>12.22878419453504</v>
      </c>
      <c r="E201" s="47">
        <f t="shared" si="81"/>
        <v>34.1995338582296</v>
      </c>
      <c r="F201" s="47">
        <f t="shared" si="81"/>
        <v>39.104912329388924</v>
      </c>
      <c r="G201" s="47">
        <f t="shared" si="81"/>
        <v>92.18923099329818</v>
      </c>
      <c r="H201" s="47">
        <f t="shared" si="81"/>
        <v>31.189082506306292</v>
      </c>
      <c r="I201" s="47">
        <f t="shared" si="81"/>
        <v>33.21225200508533</v>
      </c>
      <c r="J201" s="47" t="str">
        <f t="shared" si="81"/>
        <v> </v>
      </c>
      <c r="K201" s="47">
        <f t="shared" si="81"/>
        <v>43.995291240628</v>
      </c>
      <c r="L201" s="47" t="str">
        <f t="shared" si="81"/>
        <v> </v>
      </c>
      <c r="M201" s="47">
        <f t="shared" si="81"/>
        <v>-220.8389982207277</v>
      </c>
      <c r="N201" s="48">
        <f t="shared" si="79"/>
        <v>43.368802820917</v>
      </c>
      <c r="O201" s="49">
        <f t="shared" si="77"/>
        <v>27.43195987472415</v>
      </c>
      <c r="P201" s="254"/>
    </row>
    <row r="202" spans="1:16" ht="15.75" customHeight="1">
      <c r="A202" s="39">
        <v>6</v>
      </c>
      <c r="B202" s="45" t="s">
        <v>111</v>
      </c>
      <c r="C202" s="47">
        <f aca="true" t="shared" si="82" ref="C202:M202">_xlfn.IFERROR(((C175/C146))*100," ")</f>
        <v>46.04192650019917</v>
      </c>
      <c r="D202" s="47" t="str">
        <f t="shared" si="82"/>
        <v> </v>
      </c>
      <c r="E202" s="47">
        <f t="shared" si="82"/>
        <v>37.40461719747486</v>
      </c>
      <c r="F202" s="47" t="str">
        <f t="shared" si="82"/>
        <v> </v>
      </c>
      <c r="G202" s="47" t="str">
        <f t="shared" si="82"/>
        <v> </v>
      </c>
      <c r="H202" s="47">
        <f t="shared" si="82"/>
        <v>1.8060682342309446</v>
      </c>
      <c r="I202" s="47">
        <f t="shared" si="82"/>
        <v>30.153377182192337</v>
      </c>
      <c r="J202" s="47" t="str">
        <f t="shared" si="82"/>
        <v> </v>
      </c>
      <c r="K202" s="47" t="str">
        <f t="shared" si="82"/>
        <v> </v>
      </c>
      <c r="L202" s="47" t="str">
        <f t="shared" si="82"/>
        <v> </v>
      </c>
      <c r="M202" s="47" t="str">
        <f t="shared" si="82"/>
        <v> </v>
      </c>
      <c r="N202" s="48">
        <f t="shared" si="79"/>
        <v>32.05736495333901</v>
      </c>
      <c r="O202" s="49">
        <f t="shared" si="77"/>
        <v>47.615874081787766</v>
      </c>
      <c r="P202" s="254"/>
    </row>
    <row r="203" spans="1:16" ht="15.75" customHeight="1">
      <c r="A203" s="39">
        <v>7</v>
      </c>
      <c r="B203" s="31" t="s">
        <v>7</v>
      </c>
      <c r="C203" s="47">
        <f aca="true" t="shared" si="83" ref="C203:M203">_xlfn.IFERROR(((C176/C147))*100," ")</f>
        <v>8.106893812106138</v>
      </c>
      <c r="D203" s="47">
        <f t="shared" si="83"/>
        <v>-31.60676608120438</v>
      </c>
      <c r="E203" s="47">
        <f t="shared" si="83"/>
        <v>79.26801080142893</v>
      </c>
      <c r="F203" s="47">
        <f t="shared" si="83"/>
        <v>19.773924270627678</v>
      </c>
      <c r="G203" s="47">
        <f t="shared" si="83"/>
        <v>-26.466446475663773</v>
      </c>
      <c r="H203" s="47">
        <f t="shared" si="83"/>
        <v>-17.40522291728726</v>
      </c>
      <c r="I203" s="47">
        <f t="shared" si="83"/>
        <v>39.82924751780569</v>
      </c>
      <c r="J203" s="47">
        <f t="shared" si="83"/>
        <v>-2241.834170854271</v>
      </c>
      <c r="K203" s="47">
        <f t="shared" si="83"/>
        <v>24.079549811172758</v>
      </c>
      <c r="L203" s="47">
        <f t="shared" si="83"/>
        <v>41.22186703755958</v>
      </c>
      <c r="M203" s="47">
        <f t="shared" si="83"/>
        <v>20.52624572924524</v>
      </c>
      <c r="N203" s="48">
        <f t="shared" si="79"/>
        <v>25.699684710291347</v>
      </c>
      <c r="O203" s="49">
        <f t="shared" si="77"/>
        <v>54.66247738291041</v>
      </c>
      <c r="P203" s="254"/>
    </row>
    <row r="204" spans="1:16" ht="15.75" customHeight="1">
      <c r="A204" s="39">
        <v>8</v>
      </c>
      <c r="B204" s="31" t="s">
        <v>19</v>
      </c>
      <c r="C204" s="47">
        <f aca="true" t="shared" si="84" ref="C204:M204">_xlfn.IFERROR(((C177/C148))*100," ")</f>
        <v>-21.45590446640062</v>
      </c>
      <c r="D204" s="47">
        <f t="shared" si="84"/>
        <v>0</v>
      </c>
      <c r="E204" s="47">
        <f t="shared" si="84"/>
        <v>6.010839147200248</v>
      </c>
      <c r="F204" s="47">
        <f t="shared" si="84"/>
        <v>-13.0234813332173</v>
      </c>
      <c r="G204" s="47">
        <f t="shared" si="84"/>
        <v>106.50513338170195</v>
      </c>
      <c r="H204" s="47">
        <f t="shared" si="84"/>
        <v>-210.49918312605033</v>
      </c>
      <c r="I204" s="47">
        <f t="shared" si="84"/>
        <v>16.23095159205807</v>
      </c>
      <c r="J204" s="47">
        <f t="shared" si="84"/>
        <v>149.22611888445024</v>
      </c>
      <c r="K204" s="47">
        <f t="shared" si="84"/>
        <v>3.38515776257237</v>
      </c>
      <c r="L204" s="47" t="str">
        <f t="shared" si="84"/>
        <v> </v>
      </c>
      <c r="M204" s="47">
        <f t="shared" si="84"/>
        <v>5.487073534960046</v>
      </c>
      <c r="N204" s="48">
        <f t="shared" si="79"/>
        <v>11.120305247158527</v>
      </c>
      <c r="O204" s="49">
        <f t="shared" si="77"/>
        <v>8.715682131709737</v>
      </c>
      <c r="P204" s="254"/>
    </row>
    <row r="205" spans="1:16" ht="15.75" customHeight="1">
      <c r="A205" s="39">
        <v>9</v>
      </c>
      <c r="B205" s="31" t="s">
        <v>8</v>
      </c>
      <c r="C205" s="47">
        <f aca="true" t="shared" si="85" ref="C205:M205">_xlfn.IFERROR(((C178/C149))*100," ")</f>
        <v>120.34103429429064</v>
      </c>
      <c r="D205" s="47" t="str">
        <f t="shared" si="85"/>
        <v> </v>
      </c>
      <c r="E205" s="47">
        <f t="shared" si="85"/>
        <v>-2.4289010553909587</v>
      </c>
      <c r="F205" s="47">
        <f t="shared" si="85"/>
        <v>43.098982776215</v>
      </c>
      <c r="G205" s="47">
        <f t="shared" si="85"/>
        <v>8.440456542457984</v>
      </c>
      <c r="H205" s="47">
        <f t="shared" si="85"/>
        <v>31.457022548663023</v>
      </c>
      <c r="I205" s="47">
        <f t="shared" si="85"/>
        <v>37.34994390368884</v>
      </c>
      <c r="J205" s="47">
        <f t="shared" si="85"/>
        <v>41.22927544197124</v>
      </c>
      <c r="K205" s="47">
        <f t="shared" si="85"/>
        <v>-255.45002480308767</v>
      </c>
      <c r="L205" s="47" t="str">
        <f t="shared" si="85"/>
        <v> </v>
      </c>
      <c r="M205" s="47">
        <f t="shared" si="85"/>
        <v>23.80422222136909</v>
      </c>
      <c r="N205" s="48">
        <f t="shared" si="79"/>
        <v>34.64866382153038</v>
      </c>
      <c r="O205" s="49">
        <f t="shared" si="77"/>
        <v>11.480400567168864</v>
      </c>
      <c r="P205" s="254"/>
    </row>
    <row r="206" spans="1:16" ht="15.75" customHeight="1">
      <c r="A206" s="39">
        <v>10</v>
      </c>
      <c r="B206" s="31" t="s">
        <v>50</v>
      </c>
      <c r="C206" s="47">
        <f aca="true" t="shared" si="86" ref="C206:M206">_xlfn.IFERROR(((C179/C150))*100," ")</f>
        <v>-5.20712243424312</v>
      </c>
      <c r="D206" s="47">
        <f t="shared" si="86"/>
        <v>7.2811715794599055</v>
      </c>
      <c r="E206" s="47">
        <f t="shared" si="86"/>
        <v>-8.258451329218605</v>
      </c>
      <c r="F206" s="47" t="str">
        <f t="shared" si="86"/>
        <v> </v>
      </c>
      <c r="G206" s="47">
        <f t="shared" si="86"/>
        <v>1.0149830836152731</v>
      </c>
      <c r="H206" s="47">
        <f t="shared" si="86"/>
        <v>7.828892356961742</v>
      </c>
      <c r="I206" s="47">
        <f t="shared" si="86"/>
        <v>30.062723434368277</v>
      </c>
      <c r="J206" s="47">
        <f t="shared" si="86"/>
        <v>0.02037338208772247</v>
      </c>
      <c r="K206" s="47">
        <f t="shared" si="86"/>
        <v>0</v>
      </c>
      <c r="L206" s="47" t="str">
        <f t="shared" si="86"/>
        <v> </v>
      </c>
      <c r="M206" s="47">
        <f t="shared" si="86"/>
        <v>10.914191174579065</v>
      </c>
      <c r="N206" s="48">
        <f t="shared" si="79"/>
        <v>18.256981218518355</v>
      </c>
      <c r="O206" s="49">
        <f t="shared" si="77"/>
        <v>18.671388377312745</v>
      </c>
      <c r="P206" s="254"/>
    </row>
    <row r="207" spans="1:16" ht="15.75" customHeight="1">
      <c r="A207" s="39">
        <v>11</v>
      </c>
      <c r="B207" s="31" t="s">
        <v>4</v>
      </c>
      <c r="C207" s="47">
        <f aca="true" t="shared" si="87" ref="C207:N207">_xlfn.IFERROR(((C180/C151))*100," ")</f>
        <v>30.179807984990713</v>
      </c>
      <c r="D207" s="47">
        <f t="shared" si="87"/>
        <v>-23.804804049700152</v>
      </c>
      <c r="E207" s="47">
        <f t="shared" si="87"/>
        <v>-57.66691809417841</v>
      </c>
      <c r="F207" s="47">
        <f t="shared" si="87"/>
        <v>10.2235147880843</v>
      </c>
      <c r="G207" s="47">
        <f t="shared" si="87"/>
        <v>0</v>
      </c>
      <c r="H207" s="47">
        <f t="shared" si="87"/>
        <v>0</v>
      </c>
      <c r="I207" s="47">
        <f t="shared" si="87"/>
        <v>16.331878160179247</v>
      </c>
      <c r="J207" s="47">
        <f t="shared" si="87"/>
        <v>0</v>
      </c>
      <c r="K207" s="47">
        <f t="shared" si="87"/>
        <v>319.662911012679</v>
      </c>
      <c r="L207" s="47" t="str">
        <f t="shared" si="87"/>
        <v> </v>
      </c>
      <c r="M207" s="47">
        <f t="shared" si="87"/>
        <v>62.02807856098232</v>
      </c>
      <c r="N207" s="47">
        <f t="shared" si="87"/>
        <v>17.753304683951388</v>
      </c>
      <c r="O207" s="49">
        <f t="shared" si="77"/>
        <v>20.07687257205368</v>
      </c>
      <c r="P207" s="254"/>
    </row>
    <row r="208" spans="1:16" ht="15.75" customHeight="1">
      <c r="A208" s="39">
        <v>12</v>
      </c>
      <c r="B208" s="31" t="s">
        <v>6</v>
      </c>
      <c r="C208" s="47" t="str">
        <f aca="true" t="shared" si="88" ref="C208:M208">_xlfn.IFERROR(((C181/C152))*100," ")</f>
        <v> </v>
      </c>
      <c r="D208" s="47" t="str">
        <f t="shared" si="88"/>
        <v> </v>
      </c>
      <c r="E208" s="47" t="str">
        <f t="shared" si="88"/>
        <v> </v>
      </c>
      <c r="F208" s="47" t="str">
        <f t="shared" si="88"/>
        <v> </v>
      </c>
      <c r="G208" s="47" t="str">
        <f t="shared" si="88"/>
        <v> </v>
      </c>
      <c r="H208" s="47" t="str">
        <f t="shared" si="88"/>
        <v> </v>
      </c>
      <c r="I208" s="47" t="str">
        <f t="shared" si="88"/>
        <v> </v>
      </c>
      <c r="J208" s="47" t="str">
        <f t="shared" si="88"/>
        <v> </v>
      </c>
      <c r="K208" s="47" t="str">
        <f t="shared" si="88"/>
        <v> </v>
      </c>
      <c r="L208" s="47" t="str">
        <f t="shared" si="88"/>
        <v> </v>
      </c>
      <c r="M208" s="47">
        <f t="shared" si="88"/>
        <v>36.39090219696432</v>
      </c>
      <c r="N208" s="48">
        <f aca="true" t="shared" si="89" ref="N208:N216">((N181/N152))*100</f>
        <v>36.39090219696432</v>
      </c>
      <c r="O208" s="49">
        <f t="shared" si="77"/>
        <v>20.466122335917827</v>
      </c>
      <c r="P208" s="254"/>
    </row>
    <row r="209" spans="1:16" ht="15.75" customHeight="1">
      <c r="A209" s="39">
        <v>13</v>
      </c>
      <c r="B209" s="31" t="s">
        <v>37</v>
      </c>
      <c r="C209" s="47">
        <f aca="true" t="shared" si="90" ref="C209:M209">_xlfn.IFERROR(((C182/C153))*100," ")</f>
        <v>61.88585212275834</v>
      </c>
      <c r="D209" s="47">
        <f t="shared" si="90"/>
        <v>106.28012180598961</v>
      </c>
      <c r="E209" s="47">
        <f t="shared" si="90"/>
        <v>61.87326421657184</v>
      </c>
      <c r="F209" s="47">
        <f t="shared" si="90"/>
        <v>51.6660527069775</v>
      </c>
      <c r="G209" s="47">
        <f t="shared" si="90"/>
        <v>22.68788788190971</v>
      </c>
      <c r="H209" s="47">
        <f t="shared" si="90"/>
        <v>41.78147407358544</v>
      </c>
      <c r="I209" s="47">
        <f t="shared" si="90"/>
        <v>67.89259850189706</v>
      </c>
      <c r="J209" s="47" t="str">
        <f t="shared" si="90"/>
        <v> </v>
      </c>
      <c r="K209" s="47">
        <f t="shared" si="90"/>
        <v>87.1578875090122</v>
      </c>
      <c r="L209" s="47" t="str">
        <f t="shared" si="90"/>
        <v> </v>
      </c>
      <c r="M209" s="47">
        <f t="shared" si="90"/>
        <v>23.392454722189143</v>
      </c>
      <c r="N209" s="48">
        <f t="shared" si="89"/>
        <v>62.46600260465601</v>
      </c>
      <c r="O209" s="49">
        <f t="shared" si="77"/>
        <v>45.01691392201175</v>
      </c>
      <c r="P209" s="254"/>
    </row>
    <row r="210" spans="1:16" ht="15.75" customHeight="1">
      <c r="A210" s="39">
        <v>14</v>
      </c>
      <c r="B210" s="31" t="s">
        <v>69</v>
      </c>
      <c r="C210" s="47">
        <f aca="true" t="shared" si="91" ref="C210:M210">_xlfn.IFERROR(((C183/C154))*100," ")</f>
        <v>-42.26843569161499</v>
      </c>
      <c r="D210" s="47" t="str">
        <f t="shared" si="91"/>
        <v> </v>
      </c>
      <c r="E210" s="47" t="str">
        <f t="shared" si="91"/>
        <v> </v>
      </c>
      <c r="F210" s="47" t="str">
        <f t="shared" si="91"/>
        <v> </v>
      </c>
      <c r="G210" s="47">
        <f t="shared" si="91"/>
        <v>1.9589231389999167</v>
      </c>
      <c r="H210" s="47">
        <f t="shared" si="91"/>
        <v>6.557243775886759</v>
      </c>
      <c r="I210" s="47">
        <f t="shared" si="91"/>
        <v>52.44398657092435</v>
      </c>
      <c r="J210" s="47">
        <f t="shared" si="91"/>
        <v>63.75744555112725</v>
      </c>
      <c r="K210" s="47">
        <f t="shared" si="91"/>
        <v>11.718918239138292</v>
      </c>
      <c r="L210" s="47" t="str">
        <f t="shared" si="91"/>
        <v> </v>
      </c>
      <c r="M210" s="47">
        <f t="shared" si="91"/>
        <v>21.64936684717372</v>
      </c>
      <c r="N210" s="48">
        <f t="shared" si="89"/>
        <v>25.545812844998274</v>
      </c>
      <c r="O210" s="49">
        <f t="shared" si="77"/>
        <v>25.260248507480153</v>
      </c>
      <c r="P210" s="254"/>
    </row>
    <row r="211" spans="1:16" ht="15.75" customHeight="1">
      <c r="A211" s="39">
        <v>15</v>
      </c>
      <c r="B211" s="31" t="s">
        <v>70</v>
      </c>
      <c r="C211" s="47" t="str">
        <f aca="true" t="shared" si="92" ref="C211:M211">_xlfn.IFERROR(((C184/C155))*100," ")</f>
        <v> </v>
      </c>
      <c r="D211" s="47" t="str">
        <f t="shared" si="92"/>
        <v> </v>
      </c>
      <c r="E211" s="47" t="str">
        <f t="shared" si="92"/>
        <v> </v>
      </c>
      <c r="F211" s="47" t="str">
        <f t="shared" si="92"/>
        <v> </v>
      </c>
      <c r="G211" s="47" t="str">
        <f t="shared" si="92"/>
        <v> </v>
      </c>
      <c r="H211" s="47" t="str">
        <f t="shared" si="92"/>
        <v> </v>
      </c>
      <c r="I211" s="47" t="str">
        <f t="shared" si="92"/>
        <v> </v>
      </c>
      <c r="J211" s="47" t="str">
        <f t="shared" si="92"/>
        <v> </v>
      </c>
      <c r="K211" s="47" t="str">
        <f t="shared" si="92"/>
        <v> </v>
      </c>
      <c r="L211" s="47" t="str">
        <f t="shared" si="92"/>
        <v> </v>
      </c>
      <c r="M211" s="47">
        <f t="shared" si="92"/>
        <v>67.66860144911374</v>
      </c>
      <c r="N211" s="48">
        <f t="shared" si="89"/>
        <v>67.66860144911374</v>
      </c>
      <c r="O211" s="47" t="s">
        <v>36</v>
      </c>
      <c r="P211" s="255"/>
    </row>
    <row r="212" spans="1:16" ht="15.75" customHeight="1">
      <c r="A212" s="39">
        <v>16</v>
      </c>
      <c r="B212" s="31" t="s">
        <v>9</v>
      </c>
      <c r="C212" s="47">
        <f aca="true" t="shared" si="93" ref="C212:M212">_xlfn.IFERROR(((C185/C156))*100," ")</f>
        <v>10.742318828647099</v>
      </c>
      <c r="D212" s="47">
        <f t="shared" si="93"/>
        <v>0</v>
      </c>
      <c r="E212" s="47">
        <f t="shared" si="93"/>
        <v>9.76925718197801</v>
      </c>
      <c r="F212" s="47">
        <f t="shared" si="93"/>
        <v>78.91414141414141</v>
      </c>
      <c r="G212" s="47">
        <f t="shared" si="93"/>
        <v>0</v>
      </c>
      <c r="H212" s="47" t="str">
        <f t="shared" si="93"/>
        <v> </v>
      </c>
      <c r="I212" s="47">
        <f t="shared" si="93"/>
        <v>29.519496341288626</v>
      </c>
      <c r="J212" s="47" t="str">
        <f t="shared" si="93"/>
        <v> </v>
      </c>
      <c r="K212" s="47">
        <f t="shared" si="93"/>
        <v>1.7891620543184452</v>
      </c>
      <c r="L212" s="47" t="str">
        <f t="shared" si="93"/>
        <v> </v>
      </c>
      <c r="M212" s="47">
        <f t="shared" si="93"/>
        <v>18.728289044453458</v>
      </c>
      <c r="N212" s="48">
        <f t="shared" si="89"/>
        <v>19.66712654538501</v>
      </c>
      <c r="O212" s="49">
        <f>((O185/O156))*100</f>
        <v>27.732906866929564</v>
      </c>
      <c r="P212" s="254"/>
    </row>
    <row r="213" spans="1:16" ht="15.75" customHeight="1">
      <c r="A213" s="39">
        <v>17</v>
      </c>
      <c r="B213" s="31" t="s">
        <v>51</v>
      </c>
      <c r="C213" s="47">
        <f aca="true" t="shared" si="94" ref="C213:M213">_xlfn.IFERROR(((C186/C157))*100," ")</f>
        <v>0</v>
      </c>
      <c r="D213" s="47" t="str">
        <f t="shared" si="94"/>
        <v> </v>
      </c>
      <c r="E213" s="47">
        <f t="shared" si="94"/>
        <v>0</v>
      </c>
      <c r="F213" s="47">
        <f t="shared" si="94"/>
        <v>0</v>
      </c>
      <c r="G213" s="47">
        <f t="shared" si="94"/>
        <v>0</v>
      </c>
      <c r="H213" s="47" t="str">
        <f t="shared" si="94"/>
        <v> </v>
      </c>
      <c r="I213" s="47">
        <f t="shared" si="94"/>
        <v>11.065242661441442</v>
      </c>
      <c r="J213" s="47">
        <f t="shared" si="94"/>
        <v>0</v>
      </c>
      <c r="K213" s="47" t="str">
        <f t="shared" si="94"/>
        <v> </v>
      </c>
      <c r="L213" s="47" t="str">
        <f t="shared" si="94"/>
        <v> </v>
      </c>
      <c r="M213" s="47">
        <f t="shared" si="94"/>
        <v>0</v>
      </c>
      <c r="N213" s="48">
        <f t="shared" si="89"/>
        <v>8.44534779857001</v>
      </c>
      <c r="O213" s="49">
        <f>((O186/O157))*100</f>
        <v>5.173110286524773</v>
      </c>
      <c r="P213" s="254"/>
    </row>
    <row r="214" spans="1:16" ht="15.75" customHeight="1">
      <c r="A214" s="39">
        <v>18</v>
      </c>
      <c r="B214" s="31" t="s">
        <v>128</v>
      </c>
      <c r="C214" s="47">
        <f aca="true" t="shared" si="95" ref="C214:M214">_xlfn.IFERROR(((C187/C158))*100," ")</f>
        <v>61.4950677369694</v>
      </c>
      <c r="D214" s="47" t="str">
        <f t="shared" si="95"/>
        <v> </v>
      </c>
      <c r="E214" s="47" t="str">
        <f t="shared" si="95"/>
        <v> </v>
      </c>
      <c r="F214" s="47">
        <f t="shared" si="95"/>
        <v>20.286482344205652</v>
      </c>
      <c r="G214" s="47">
        <f t="shared" si="95"/>
        <v>1.1521866093474353</v>
      </c>
      <c r="H214" s="47">
        <f t="shared" si="95"/>
        <v>102.21269237993238</v>
      </c>
      <c r="I214" s="47">
        <f t="shared" si="95"/>
        <v>26.85321878248958</v>
      </c>
      <c r="J214" s="47">
        <f t="shared" si="95"/>
        <v>0</v>
      </c>
      <c r="K214" s="47">
        <f t="shared" si="95"/>
        <v>23.759693747165514</v>
      </c>
      <c r="L214" s="47" t="str">
        <f t="shared" si="95"/>
        <v> </v>
      </c>
      <c r="M214" s="47">
        <f t="shared" si="95"/>
        <v>15.84132398411998</v>
      </c>
      <c r="N214" s="48">
        <f t="shared" si="89"/>
        <v>24.792210920307596</v>
      </c>
      <c r="O214" s="49">
        <f>((O187/O158))*100</f>
        <v>21.876685274603037</v>
      </c>
      <c r="P214" s="254"/>
    </row>
    <row r="215" spans="1:16" s="23" customFormat="1" ht="15.75" customHeight="1">
      <c r="A215" s="39">
        <v>19</v>
      </c>
      <c r="B215" s="31" t="s">
        <v>53</v>
      </c>
      <c r="C215" s="47">
        <f aca="true" t="shared" si="96" ref="C215:M215">_xlfn.IFERROR(((C188/C159))*100," ")</f>
        <v>30.278316064535783</v>
      </c>
      <c r="D215" s="47">
        <f t="shared" si="96"/>
        <v>16.575965547011734</v>
      </c>
      <c r="E215" s="47">
        <f t="shared" si="96"/>
        <v>34.274512049525796</v>
      </c>
      <c r="F215" s="47">
        <f t="shared" si="96"/>
        <v>36.9965350822918</v>
      </c>
      <c r="G215" s="47">
        <f t="shared" si="96"/>
        <v>11.942981314213615</v>
      </c>
      <c r="H215" s="47">
        <f t="shared" si="96"/>
        <v>66.83234621906564</v>
      </c>
      <c r="I215" s="47">
        <f t="shared" si="96"/>
        <v>44.63648562955165</v>
      </c>
      <c r="J215" s="47" t="str">
        <f t="shared" si="96"/>
        <v> </v>
      </c>
      <c r="K215" s="47">
        <f t="shared" si="96"/>
        <v>146.8784131876675</v>
      </c>
      <c r="L215" s="47" t="str">
        <f t="shared" si="96"/>
        <v> </v>
      </c>
      <c r="M215" s="47">
        <f t="shared" si="96"/>
        <v>39.92902339759923</v>
      </c>
      <c r="N215" s="48">
        <f t="shared" si="89"/>
        <v>40.434321637067825</v>
      </c>
      <c r="O215" s="49">
        <f>((O188/O159))*100</f>
        <v>35.330166562589696</v>
      </c>
      <c r="P215" s="254"/>
    </row>
    <row r="216" spans="1:16" ht="15.75" customHeight="1">
      <c r="A216" s="39">
        <v>20</v>
      </c>
      <c r="B216" s="31" t="s">
        <v>74</v>
      </c>
      <c r="C216" s="47">
        <f>_xlfn.IFERROR(((C189/C160))*100," ")</f>
        <v>12.582699983596699</v>
      </c>
      <c r="D216" s="47" t="str">
        <f aca="true" t="shared" si="97" ref="D216:M216">_xlfn.IFERROR(((D189/D160))*100," ")</f>
        <v> </v>
      </c>
      <c r="E216" s="47">
        <f t="shared" si="97"/>
        <v>25.96352068312387</v>
      </c>
      <c r="F216" s="47">
        <f t="shared" si="97"/>
        <v>59.681253123999866</v>
      </c>
      <c r="G216" s="47">
        <f t="shared" si="97"/>
        <v>-70.17119838872105</v>
      </c>
      <c r="H216" s="47">
        <f t="shared" si="97"/>
        <v>14.570084479837286</v>
      </c>
      <c r="I216" s="47">
        <f t="shared" si="97"/>
        <v>33.39017179697156</v>
      </c>
      <c r="J216" s="47">
        <f t="shared" si="97"/>
        <v>0</v>
      </c>
      <c r="K216" s="47">
        <f t="shared" si="97"/>
        <v>77.05645218526878</v>
      </c>
      <c r="L216" s="47" t="str">
        <f t="shared" si="97"/>
        <v> </v>
      </c>
      <c r="M216" s="47">
        <f t="shared" si="97"/>
        <v>34.081889546694526</v>
      </c>
      <c r="N216" s="48">
        <f t="shared" si="89"/>
        <v>30.125958780360936</v>
      </c>
      <c r="O216" s="49">
        <f>((O189/O160))*100</f>
        <v>28.155348991105743</v>
      </c>
      <c r="P216" s="254"/>
    </row>
    <row r="217" spans="1:16" ht="15.75" customHeight="1">
      <c r="A217" s="39">
        <v>21</v>
      </c>
      <c r="B217" s="31" t="s">
        <v>118</v>
      </c>
      <c r="C217" s="47">
        <f>_xlfn.IFERROR(((C190/C161))*100," ")</f>
        <v>15.980806612942796</v>
      </c>
      <c r="D217" s="47">
        <f aca="true" t="shared" si="98" ref="D217:O217">_xlfn.IFERROR(((D190/D161))*100," ")</f>
        <v>-233.274228807384</v>
      </c>
      <c r="E217" s="47">
        <f t="shared" si="98"/>
        <v>42.5216207910795</v>
      </c>
      <c r="F217" s="47">
        <f t="shared" si="98"/>
        <v>24.461899209410195</v>
      </c>
      <c r="G217" s="47">
        <f t="shared" si="98"/>
        <v>20.761825031393887</v>
      </c>
      <c r="H217" s="47">
        <f t="shared" si="98"/>
        <v>-27.78224703225622</v>
      </c>
      <c r="I217" s="47">
        <f t="shared" si="98"/>
        <v>44.70537127253545</v>
      </c>
      <c r="J217" s="47">
        <f t="shared" si="98"/>
        <v>147.7294921875</v>
      </c>
      <c r="K217" s="47">
        <f t="shared" si="98"/>
        <v>118.01269882830398</v>
      </c>
      <c r="L217" s="47" t="str">
        <f t="shared" si="98"/>
        <v> </v>
      </c>
      <c r="M217" s="47">
        <f t="shared" si="98"/>
        <v>-0.26563631972953394</v>
      </c>
      <c r="N217" s="47">
        <f t="shared" si="98"/>
        <v>15.90129572620134</v>
      </c>
      <c r="O217" s="47">
        <f t="shared" si="98"/>
        <v>265.18175745034455</v>
      </c>
      <c r="P217" s="254"/>
    </row>
    <row r="218" spans="1:16" ht="15.75" customHeight="1">
      <c r="A218" s="42"/>
      <c r="B218" s="43" t="s">
        <v>10</v>
      </c>
      <c r="C218" s="50">
        <f aca="true" t="shared" si="99" ref="C218:M218">((C191/C162))*100</f>
        <v>16.655483955680587</v>
      </c>
      <c r="D218" s="50">
        <f t="shared" si="99"/>
        <v>29.681648473974676</v>
      </c>
      <c r="E218" s="50">
        <f t="shared" si="99"/>
        <v>28.84501008505294</v>
      </c>
      <c r="F218" s="50">
        <f t="shared" si="99"/>
        <v>51.83886590954633</v>
      </c>
      <c r="G218" s="50">
        <f t="shared" si="99"/>
        <v>17.946909821906136</v>
      </c>
      <c r="H218" s="50">
        <f t="shared" si="99"/>
        <v>17.86024929232924</v>
      </c>
      <c r="I218" s="50">
        <f t="shared" si="99"/>
        <v>38.98652576448715</v>
      </c>
      <c r="J218" s="50">
        <f t="shared" si="99"/>
        <v>74.91908943157756</v>
      </c>
      <c r="K218" s="50">
        <f t="shared" si="99"/>
        <v>27.396881873505695</v>
      </c>
      <c r="L218" s="50">
        <f t="shared" si="99"/>
        <v>81.37080493123192</v>
      </c>
      <c r="M218" s="55">
        <f t="shared" si="99"/>
        <v>37.18641092436836</v>
      </c>
      <c r="N218" s="50">
        <f>((N191/N162))*100</f>
        <v>43.97696553736836</v>
      </c>
      <c r="O218" s="49">
        <f>((O191/O162))*100</f>
        <v>40.25277199201257</v>
      </c>
      <c r="P218" s="254"/>
    </row>
    <row r="220" ht="15.75" customHeight="1">
      <c r="N220" s="53"/>
    </row>
    <row r="221" spans="1:16" ht="15.75" customHeight="1">
      <c r="A221" s="229"/>
      <c r="B221" s="229"/>
      <c r="C221" s="229"/>
      <c r="D221" s="229"/>
      <c r="E221" s="229" t="s">
        <v>137</v>
      </c>
      <c r="F221" s="229"/>
      <c r="G221" s="229"/>
      <c r="H221" s="229"/>
      <c r="I221" s="229"/>
      <c r="J221" s="229"/>
      <c r="K221" s="229"/>
      <c r="L221" s="229" t="s">
        <v>35</v>
      </c>
      <c r="M221" s="229"/>
      <c r="N221" s="229"/>
      <c r="O221" s="229"/>
      <c r="P221" s="229"/>
    </row>
    <row r="222" spans="1:16" ht="15.75" customHeight="1" thickBot="1">
      <c r="A222" s="230" t="s">
        <v>85</v>
      </c>
      <c r="B222" s="231" t="s">
        <v>0</v>
      </c>
      <c r="C222" s="231" t="s">
        <v>11</v>
      </c>
      <c r="D222" s="231" t="s">
        <v>14</v>
      </c>
      <c r="E222" s="231" t="s">
        <v>16</v>
      </c>
      <c r="F222" s="231" t="s">
        <v>13</v>
      </c>
      <c r="G222" s="231" t="s">
        <v>48</v>
      </c>
      <c r="H222" s="231" t="s">
        <v>49</v>
      </c>
      <c r="I222" s="231" t="s">
        <v>12</v>
      </c>
      <c r="J222" s="231" t="s">
        <v>17</v>
      </c>
      <c r="K222" s="231" t="s">
        <v>15</v>
      </c>
      <c r="L222" s="231" t="s">
        <v>66</v>
      </c>
      <c r="M222" s="232" t="s">
        <v>18</v>
      </c>
      <c r="N222" s="299" t="s">
        <v>127</v>
      </c>
      <c r="O222" s="45" t="s">
        <v>122</v>
      </c>
      <c r="P222" s="45"/>
    </row>
    <row r="223" spans="1:16" ht="15.75" customHeight="1">
      <c r="A223" s="233">
        <v>1</v>
      </c>
      <c r="B223" s="165" t="s">
        <v>1</v>
      </c>
      <c r="C223" s="165">
        <v>4054162</v>
      </c>
      <c r="D223" s="165">
        <v>275425</v>
      </c>
      <c r="E223" s="165">
        <v>1451467</v>
      </c>
      <c r="F223" s="165">
        <v>-286261</v>
      </c>
      <c r="G223" s="165">
        <v>-4894</v>
      </c>
      <c r="H223" s="165">
        <v>851786</v>
      </c>
      <c r="I223" s="165">
        <v>2973612</v>
      </c>
      <c r="J223" s="165">
        <v>1094814</v>
      </c>
      <c r="K223" s="165">
        <v>1985402</v>
      </c>
      <c r="L223" s="165">
        <v>4374084</v>
      </c>
      <c r="M223" s="165">
        <f>178493+-960305</f>
        <v>-781812</v>
      </c>
      <c r="N223" s="234">
        <f>SUM(C223:M223)</f>
        <v>15987785</v>
      </c>
      <c r="O223" s="235">
        <v>17815259</v>
      </c>
      <c r="P223" s="58"/>
    </row>
    <row r="224" spans="1:16" ht="15.75" customHeight="1">
      <c r="A224" s="233">
        <v>2</v>
      </c>
      <c r="B224" s="165" t="s">
        <v>56</v>
      </c>
      <c r="C224" s="241">
        <v>232171</v>
      </c>
      <c r="D224" s="241">
        <v>-20714</v>
      </c>
      <c r="E224" s="241">
        <v>-2159536</v>
      </c>
      <c r="F224" s="241"/>
      <c r="G224" s="241">
        <f>1042383-2549698</f>
        <v>-1507315</v>
      </c>
      <c r="H224" s="241">
        <f>-320946+21142</f>
        <v>-299804</v>
      </c>
      <c r="I224" s="241">
        <v>-715244</v>
      </c>
      <c r="J224" s="241"/>
      <c r="K224" s="241"/>
      <c r="L224" s="241"/>
      <c r="M224" s="241">
        <f>-31932+3851</f>
        <v>-28081</v>
      </c>
      <c r="N224" s="234">
        <f>SUM(C224:M224)</f>
        <v>-4498523</v>
      </c>
      <c r="O224" s="235">
        <v>-5760726</v>
      </c>
      <c r="P224" s="58"/>
    </row>
    <row r="225" spans="1:16" ht="15.75" customHeight="1">
      <c r="A225" s="233">
        <v>3</v>
      </c>
      <c r="B225" s="165" t="s">
        <v>110</v>
      </c>
      <c r="C225" s="236">
        <f>74472+528825</f>
        <v>603297</v>
      </c>
      <c r="D225" s="165">
        <f>24935</f>
        <v>24935</v>
      </c>
      <c r="E225" s="165">
        <f>570592</f>
        <v>570592</v>
      </c>
      <c r="F225" s="165">
        <f>-677930</f>
        <v>-677930</v>
      </c>
      <c r="G225" s="165">
        <f>613633</f>
        <v>613633</v>
      </c>
      <c r="H225" s="165">
        <f>517608</f>
        <v>517608</v>
      </c>
      <c r="I225" s="165">
        <f>-150877-90259</f>
        <v>-241136</v>
      </c>
      <c r="J225" s="165">
        <v>0</v>
      </c>
      <c r="K225" s="165">
        <f>1529872</f>
        <v>1529872</v>
      </c>
      <c r="L225" s="165">
        <v>-1859341</v>
      </c>
      <c r="M225" s="165">
        <f>817111</f>
        <v>817111</v>
      </c>
      <c r="N225" s="234">
        <f aca="true" t="shared" si="100" ref="N225:N243">SUM(C225:M225)</f>
        <v>1898641</v>
      </c>
      <c r="O225" s="235">
        <v>10825121</v>
      </c>
      <c r="P225" s="58"/>
    </row>
    <row r="226" spans="1:16" ht="15.75" customHeight="1">
      <c r="A226" s="233">
        <v>4</v>
      </c>
      <c r="B226" s="165" t="s">
        <v>83</v>
      </c>
      <c r="C226" s="236">
        <v>-62537</v>
      </c>
      <c r="D226" s="236">
        <v>-4497</v>
      </c>
      <c r="E226" s="236">
        <v>4658</v>
      </c>
      <c r="F226" s="236">
        <v>-451963</v>
      </c>
      <c r="G226" s="236">
        <v>-43600</v>
      </c>
      <c r="H226" s="236">
        <f>-18049+11387+64567+13070</f>
        <v>70975</v>
      </c>
      <c r="I226" s="236">
        <f>-372861+411</f>
        <v>-372450</v>
      </c>
      <c r="J226" s="236">
        <v>21506</v>
      </c>
      <c r="K226" s="236">
        <f>-1272-27567</f>
        <v>-28839</v>
      </c>
      <c r="L226" s="236"/>
      <c r="M226" s="236">
        <v>-228427</v>
      </c>
      <c r="N226" s="234">
        <f t="shared" si="100"/>
        <v>-1095174</v>
      </c>
      <c r="O226" s="235">
        <v>-1214564</v>
      </c>
      <c r="P226" s="58"/>
    </row>
    <row r="227" spans="1:16" ht="15.75" customHeight="1">
      <c r="A227" s="233">
        <v>5</v>
      </c>
      <c r="B227" s="165" t="s">
        <v>3</v>
      </c>
      <c r="C227" s="165">
        <v>865617.731</v>
      </c>
      <c r="D227" s="165">
        <v>23867.233</v>
      </c>
      <c r="E227" s="165">
        <v>634423.495</v>
      </c>
      <c r="F227" s="165">
        <v>314825.718</v>
      </c>
      <c r="G227" s="165">
        <v>-121676.833</v>
      </c>
      <c r="H227" s="165">
        <v>172743.852</v>
      </c>
      <c r="I227" s="165">
        <v>-963404.841</v>
      </c>
      <c r="J227" s="165"/>
      <c r="K227" s="165">
        <f>118106.383-16285.314</f>
        <v>101821.069</v>
      </c>
      <c r="L227" s="165"/>
      <c r="M227" s="165">
        <v>379062.898</v>
      </c>
      <c r="N227" s="234">
        <f t="shared" si="100"/>
        <v>1407280.322</v>
      </c>
      <c r="O227" s="235">
        <v>1466648.46</v>
      </c>
      <c r="P227" s="58"/>
    </row>
    <row r="228" spans="1:16" ht="15.75" customHeight="1">
      <c r="A228" s="233">
        <v>6</v>
      </c>
      <c r="B228" s="45" t="s">
        <v>111</v>
      </c>
      <c r="C228" s="165">
        <v>37843</v>
      </c>
      <c r="D228" s="165"/>
      <c r="E228" s="165">
        <v>-508031</v>
      </c>
      <c r="F228" s="165"/>
      <c r="G228" s="165"/>
      <c r="H228" s="165">
        <f>261600+23928</f>
        <v>285528</v>
      </c>
      <c r="I228" s="165">
        <v>187208</v>
      </c>
      <c r="J228" s="165"/>
      <c r="K228" s="165"/>
      <c r="L228" s="165"/>
      <c r="M228" s="165"/>
      <c r="N228" s="234">
        <f t="shared" si="100"/>
        <v>2548</v>
      </c>
      <c r="O228" s="235">
        <v>-1126339</v>
      </c>
      <c r="P228" s="58"/>
    </row>
    <row r="229" spans="1:16" ht="15.75" customHeight="1">
      <c r="A229" s="233">
        <v>7</v>
      </c>
      <c r="B229" s="165" t="s">
        <v>112</v>
      </c>
      <c r="C229" s="165">
        <v>629302</v>
      </c>
      <c r="D229" s="165">
        <v>558674</v>
      </c>
      <c r="E229" s="165">
        <v>-612980</v>
      </c>
      <c r="F229" s="165">
        <v>331681</v>
      </c>
      <c r="G229" s="165">
        <v>-41906</v>
      </c>
      <c r="H229" s="165">
        <v>-19120</v>
      </c>
      <c r="I229" s="165">
        <v>358603</v>
      </c>
      <c r="J229" s="165">
        <v>-132431</v>
      </c>
      <c r="K229" s="165">
        <v>-97784</v>
      </c>
      <c r="L229" s="165">
        <v>-527119</v>
      </c>
      <c r="M229" s="165">
        <v>5277</v>
      </c>
      <c r="N229" s="234">
        <f t="shared" si="100"/>
        <v>452197</v>
      </c>
      <c r="O229" s="235">
        <v>-2476277.80761</v>
      </c>
      <c r="P229" s="58"/>
    </row>
    <row r="230" spans="1:16" ht="15.75" customHeight="1">
      <c r="A230" s="233">
        <v>8</v>
      </c>
      <c r="B230" s="165" t="s">
        <v>84</v>
      </c>
      <c r="C230" s="165">
        <f>410963.172</f>
        <v>410963.172</v>
      </c>
      <c r="D230" s="165">
        <v>6390.924</v>
      </c>
      <c r="E230" s="165">
        <v>-752738.412</v>
      </c>
      <c r="F230" s="165">
        <v>113955.206</v>
      </c>
      <c r="G230" s="165">
        <v>-87682.776</v>
      </c>
      <c r="H230" s="165">
        <f>727852.186+101532.113</f>
        <v>829384.299</v>
      </c>
      <c r="I230" s="165">
        <f>-1753383.724</f>
        <v>-1753383.724</v>
      </c>
      <c r="J230" s="165">
        <f>-367275.331</f>
        <v>-367275.331</v>
      </c>
      <c r="K230" s="165">
        <v>27377.389</v>
      </c>
      <c r="L230" s="165">
        <v>0</v>
      </c>
      <c r="M230" s="165">
        <v>664904.773</v>
      </c>
      <c r="N230" s="234">
        <f t="shared" si="100"/>
        <v>-908104.48</v>
      </c>
      <c r="O230" s="235">
        <v>-1089800</v>
      </c>
      <c r="P230" s="58"/>
    </row>
    <row r="231" spans="1:16" ht="15.75" customHeight="1">
      <c r="A231" s="233">
        <v>9</v>
      </c>
      <c r="B231" s="165" t="s">
        <v>8</v>
      </c>
      <c r="C231" s="165">
        <v>-461783</v>
      </c>
      <c r="D231" s="165">
        <v>0</v>
      </c>
      <c r="E231" s="165">
        <v>-20470</v>
      </c>
      <c r="F231" s="165">
        <v>141914</v>
      </c>
      <c r="G231" s="165">
        <v>6924</v>
      </c>
      <c r="H231" s="165">
        <v>-113740</v>
      </c>
      <c r="I231" s="165">
        <v>145640</v>
      </c>
      <c r="J231" s="165">
        <v>-1697</v>
      </c>
      <c r="K231" s="165">
        <v>130380</v>
      </c>
      <c r="L231" s="165">
        <v>0</v>
      </c>
      <c r="M231" s="165">
        <v>-56796</v>
      </c>
      <c r="N231" s="234">
        <f t="shared" si="100"/>
        <v>-229628</v>
      </c>
      <c r="O231" s="235">
        <v>-1043267</v>
      </c>
      <c r="P231" s="58"/>
    </row>
    <row r="232" spans="1:16" ht="15.75" customHeight="1">
      <c r="A232" s="233">
        <v>10</v>
      </c>
      <c r="B232" s="165" t="s">
        <v>50</v>
      </c>
      <c r="C232" s="165">
        <v>51261</v>
      </c>
      <c r="D232" s="165">
        <v>4000</v>
      </c>
      <c r="E232" s="165">
        <v>102511</v>
      </c>
      <c r="F232" s="165"/>
      <c r="G232" s="165">
        <v>11985</v>
      </c>
      <c r="H232" s="165">
        <v>71769</v>
      </c>
      <c r="I232" s="165">
        <f>8862+5000</f>
        <v>13862</v>
      </c>
      <c r="J232" s="165">
        <v>53223</v>
      </c>
      <c r="K232" s="165">
        <v>8000</v>
      </c>
      <c r="L232" s="165"/>
      <c r="M232" s="165">
        <f>8000+9998</f>
        <v>17998</v>
      </c>
      <c r="N232" s="234">
        <f t="shared" si="100"/>
        <v>334609</v>
      </c>
      <c r="O232" s="235">
        <v>176436.89999999997</v>
      </c>
      <c r="P232" s="58"/>
    </row>
    <row r="233" spans="1:16" ht="15.75" customHeight="1">
      <c r="A233" s="233">
        <v>11</v>
      </c>
      <c r="B233" s="165" t="s">
        <v>4</v>
      </c>
      <c r="C233" s="165">
        <v>116065.84211999885</v>
      </c>
      <c r="D233" s="165">
        <v>5054.134796407432</v>
      </c>
      <c r="E233" s="165">
        <v>12524.878383072491</v>
      </c>
      <c r="F233" s="165">
        <v>24024.145460346757</v>
      </c>
      <c r="G233" s="165">
        <v>2440.8320957076894</v>
      </c>
      <c r="H233" s="165">
        <v>6109.744063467428</v>
      </c>
      <c r="I233" s="165">
        <v>858243.3958252505</v>
      </c>
      <c r="J233" s="165">
        <v>166448.81169383123</v>
      </c>
      <c r="K233" s="165">
        <v>-108595.42530123841</v>
      </c>
      <c r="L233" s="165"/>
      <c r="M233" s="165">
        <v>-104881.25250134294</v>
      </c>
      <c r="N233" s="234">
        <f t="shared" si="100"/>
        <v>977435.1066355011</v>
      </c>
      <c r="O233" s="235">
        <v>705736</v>
      </c>
      <c r="P233" s="58"/>
    </row>
    <row r="234" spans="1:16" ht="15.75" customHeight="1">
      <c r="A234" s="233">
        <v>12</v>
      </c>
      <c r="B234" s="165" t="s">
        <v>6</v>
      </c>
      <c r="C234" s="165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>
        <v>-355898</v>
      </c>
      <c r="N234" s="234">
        <f t="shared" si="100"/>
        <v>-355898</v>
      </c>
      <c r="O234" s="235">
        <v>-1508265.42</v>
      </c>
      <c r="P234" s="58"/>
    </row>
    <row r="235" spans="1:16" ht="15.75" customHeight="1">
      <c r="A235" s="233">
        <v>13</v>
      </c>
      <c r="B235" s="165" t="s">
        <v>37</v>
      </c>
      <c r="C235" s="165">
        <v>-578551</v>
      </c>
      <c r="D235" s="165">
        <v>-744431</v>
      </c>
      <c r="E235" s="165">
        <v>-82709</v>
      </c>
      <c r="F235" s="165">
        <v>-11525</v>
      </c>
      <c r="G235" s="165">
        <v>49252</v>
      </c>
      <c r="H235" s="165">
        <v>5719</v>
      </c>
      <c r="I235" s="165">
        <f>-63582-480062</f>
        <v>-543644</v>
      </c>
      <c r="J235" s="165"/>
      <c r="K235" s="165">
        <v>-206701</v>
      </c>
      <c r="L235" s="165"/>
      <c r="M235" s="165">
        <f>-1400+286225+94659</f>
        <v>379484</v>
      </c>
      <c r="N235" s="234">
        <f t="shared" si="100"/>
        <v>-1733106</v>
      </c>
      <c r="O235" s="235">
        <v>-632631</v>
      </c>
      <c r="P235" s="58"/>
    </row>
    <row r="236" spans="1:16" ht="15.75" customHeight="1">
      <c r="A236" s="233">
        <v>14</v>
      </c>
      <c r="B236" s="165" t="s">
        <v>69</v>
      </c>
      <c r="C236" s="236">
        <v>6915966</v>
      </c>
      <c r="D236" s="165">
        <v>0</v>
      </c>
      <c r="E236" s="165">
        <v>0</v>
      </c>
      <c r="F236" s="165">
        <v>0</v>
      </c>
      <c r="G236" s="236">
        <v>1909799</v>
      </c>
      <c r="H236" s="236">
        <f>3475191+41985</f>
        <v>3517176</v>
      </c>
      <c r="I236" s="236">
        <f>9176853</f>
        <v>9176853</v>
      </c>
      <c r="J236" s="236">
        <v>457501</v>
      </c>
      <c r="K236" s="165">
        <f>2611380+0.59</f>
        <v>2611380.59</v>
      </c>
      <c r="L236" s="165">
        <v>0</v>
      </c>
      <c r="M236" s="236">
        <f>-16837385.59</f>
        <v>-16837385.59</v>
      </c>
      <c r="N236" s="234">
        <f t="shared" si="100"/>
        <v>7751290</v>
      </c>
      <c r="O236" s="235">
        <v>5561713</v>
      </c>
      <c r="P236" s="58"/>
    </row>
    <row r="237" spans="1:16" ht="15.75" customHeight="1">
      <c r="A237" s="233">
        <v>15</v>
      </c>
      <c r="B237" s="165" t="s">
        <v>70</v>
      </c>
      <c r="C237" s="165"/>
      <c r="D237" s="165"/>
      <c r="E237" s="165"/>
      <c r="F237" s="165"/>
      <c r="G237" s="165"/>
      <c r="H237" s="165"/>
      <c r="I237" s="165"/>
      <c r="J237" s="165"/>
      <c r="K237" s="165"/>
      <c r="L237" s="165"/>
      <c r="M237" s="165">
        <v>4685227</v>
      </c>
      <c r="N237" s="234">
        <f t="shared" si="100"/>
        <v>4685227</v>
      </c>
      <c r="O237" s="235">
        <v>-3561087.3999999994</v>
      </c>
      <c r="P237" s="58"/>
    </row>
    <row r="238" spans="1:16" ht="15.75" customHeight="1">
      <c r="A238" s="233">
        <v>16</v>
      </c>
      <c r="B238" s="165" t="s">
        <v>9</v>
      </c>
      <c r="C238" s="165">
        <v>-307325</v>
      </c>
      <c r="D238" s="165">
        <v>1884</v>
      </c>
      <c r="E238" s="165">
        <v>41671</v>
      </c>
      <c r="F238" s="165">
        <f>-40856</f>
        <v>-40856</v>
      </c>
      <c r="G238" s="165">
        <v>-213</v>
      </c>
      <c r="H238" s="165">
        <v>0</v>
      </c>
      <c r="I238" s="165">
        <f>-351532+139815</f>
        <v>-211717</v>
      </c>
      <c r="J238" s="165">
        <v>0</v>
      </c>
      <c r="K238" s="165">
        <f>-7059+7663</f>
        <v>604</v>
      </c>
      <c r="L238" s="165">
        <v>0</v>
      </c>
      <c r="M238" s="165">
        <v>-66014</v>
      </c>
      <c r="N238" s="234">
        <f>SUM(C238:M238)</f>
        <v>-581966</v>
      </c>
      <c r="O238" s="235">
        <v>-866315.9999999999</v>
      </c>
      <c r="P238" s="58"/>
    </row>
    <row r="239" spans="1:16" ht="15.75" customHeight="1">
      <c r="A239" s="233">
        <v>17</v>
      </c>
      <c r="B239" s="165" t="s">
        <v>51</v>
      </c>
      <c r="C239" s="165">
        <v>-98220.641</v>
      </c>
      <c r="D239" s="165"/>
      <c r="E239" s="165">
        <v>-1636.186</v>
      </c>
      <c r="F239" s="165">
        <v>-2381.35</v>
      </c>
      <c r="G239" s="165">
        <v>-64.515</v>
      </c>
      <c r="H239" s="165"/>
      <c r="I239" s="165">
        <v>-55847.991</v>
      </c>
      <c r="J239" s="165">
        <v>13512.17</v>
      </c>
      <c r="K239" s="165"/>
      <c r="L239" s="165"/>
      <c r="M239" s="165">
        <f>-1339.499-2071.571</f>
        <v>-3411.0699999999997</v>
      </c>
      <c r="N239" s="234">
        <f t="shared" si="100"/>
        <v>-148049.583</v>
      </c>
      <c r="O239" s="235">
        <v>-65631.97000000003</v>
      </c>
      <c r="P239" s="58"/>
    </row>
    <row r="240" spans="1:16" ht="15.75" customHeight="1">
      <c r="A240" s="233">
        <v>18</v>
      </c>
      <c r="B240" s="165" t="s">
        <v>128</v>
      </c>
      <c r="C240" s="165">
        <v>-253592.689</v>
      </c>
      <c r="D240" s="165">
        <v>0</v>
      </c>
      <c r="E240" s="165">
        <f>0</f>
        <v>0</v>
      </c>
      <c r="F240" s="165">
        <v>-51329.354</v>
      </c>
      <c r="G240" s="165">
        <v>5137.372</v>
      </c>
      <c r="H240" s="165">
        <f>-163250.286+-4929.603</f>
        <v>-168179.889</v>
      </c>
      <c r="I240" s="165">
        <f>-34251.935</f>
        <v>-34251.935</v>
      </c>
      <c r="J240" s="165">
        <f>-64521.021</f>
        <v>-64521.021</v>
      </c>
      <c r="K240" s="165">
        <f>-169070.033</f>
        <v>-169070.033</v>
      </c>
      <c r="L240" s="165">
        <v>0</v>
      </c>
      <c r="M240" s="165">
        <f>-195262.116+-106655.717</f>
        <v>-301917.833</v>
      </c>
      <c r="N240" s="234">
        <f t="shared" si="100"/>
        <v>-1037725.3820000001</v>
      </c>
      <c r="O240" s="235">
        <v>-789993.8840000001</v>
      </c>
      <c r="P240" s="58"/>
    </row>
    <row r="241" spans="1:16" ht="15.75" customHeight="1">
      <c r="A241" s="233">
        <v>19</v>
      </c>
      <c r="B241" s="165" t="s">
        <v>53</v>
      </c>
      <c r="C241" s="236">
        <f>-115127+806353</f>
        <v>691226</v>
      </c>
      <c r="D241" s="236">
        <v>106387</v>
      </c>
      <c r="E241" s="236">
        <v>356666</v>
      </c>
      <c r="F241" s="236">
        <v>-74504</v>
      </c>
      <c r="G241" s="236">
        <v>222469</v>
      </c>
      <c r="H241" s="236">
        <f>227429+230817</f>
        <v>458246</v>
      </c>
      <c r="I241" s="236">
        <f>231835+379727</f>
        <v>611562</v>
      </c>
      <c r="J241" s="236"/>
      <c r="K241" s="236">
        <v>713278</v>
      </c>
      <c r="L241" s="165"/>
      <c r="M241" s="236">
        <v>-1734</v>
      </c>
      <c r="N241" s="234">
        <f t="shared" si="100"/>
        <v>3083596</v>
      </c>
      <c r="O241" s="235">
        <v>2989090</v>
      </c>
      <c r="P241" s="58"/>
    </row>
    <row r="242" spans="1:16" ht="15.75" customHeight="1">
      <c r="A242" s="233">
        <v>20</v>
      </c>
      <c r="B242" s="237" t="s">
        <v>74</v>
      </c>
      <c r="C242" s="238">
        <v>-396719</v>
      </c>
      <c r="D242" s="238"/>
      <c r="E242" s="238">
        <v>-107545</v>
      </c>
      <c r="F242" s="238">
        <v>9935</v>
      </c>
      <c r="G242" s="238">
        <v>18340</v>
      </c>
      <c r="H242" s="238">
        <v>231593</v>
      </c>
      <c r="I242" s="238">
        <v>896213</v>
      </c>
      <c r="J242" s="238">
        <v>-2969</v>
      </c>
      <c r="K242" s="238">
        <v>-230396</v>
      </c>
      <c r="L242" s="237"/>
      <c r="M242" s="238">
        <v>-320403</v>
      </c>
      <c r="N242" s="234">
        <f t="shared" si="100"/>
        <v>98049</v>
      </c>
      <c r="O242" s="235">
        <v>680397.54</v>
      </c>
      <c r="P242" s="58"/>
    </row>
    <row r="243" spans="1:16" ht="15.75" customHeight="1" thickBot="1">
      <c r="A243" s="233">
        <v>21</v>
      </c>
      <c r="B243" s="165" t="s">
        <v>118</v>
      </c>
      <c r="C243" s="241">
        <f>-1463-301386</f>
        <v>-302849</v>
      </c>
      <c r="D243" s="241">
        <v>55221</v>
      </c>
      <c r="E243" s="241">
        <v>-37498</v>
      </c>
      <c r="F243" s="241">
        <v>-98746</v>
      </c>
      <c r="G243" s="241">
        <v>-44828</v>
      </c>
      <c r="H243" s="241">
        <f>-844+36204</f>
        <v>35360</v>
      </c>
      <c r="I243" s="241">
        <f>-242207-183389</f>
        <v>-425596</v>
      </c>
      <c r="J243" s="241">
        <v>-32317</v>
      </c>
      <c r="K243" s="241">
        <v>-218274</v>
      </c>
      <c r="L243" s="241"/>
      <c r="M243" s="241">
        <v>-5237</v>
      </c>
      <c r="N243" s="234">
        <f t="shared" si="100"/>
        <v>-1074764</v>
      </c>
      <c r="O243" s="290">
        <v>-723276</v>
      </c>
      <c r="P243" s="58"/>
    </row>
    <row r="244" spans="1:16" ht="15.75" customHeight="1" thickBot="1">
      <c r="A244" s="239"/>
      <c r="B244" s="240" t="s">
        <v>10</v>
      </c>
      <c r="C244" s="240">
        <f>SUM(C223:C243)</f>
        <v>12146297.41512</v>
      </c>
      <c r="D244" s="240">
        <f aca="true" t="shared" si="101" ref="D244:M244">SUM(D223:D243)</f>
        <v>292196.29179640743</v>
      </c>
      <c r="E244" s="240">
        <f t="shared" si="101"/>
        <v>-1108630.2246169273</v>
      </c>
      <c r="F244" s="240">
        <f t="shared" si="101"/>
        <v>-759160.6345396534</v>
      </c>
      <c r="G244" s="240">
        <f t="shared" si="101"/>
        <v>987800.0800957076</v>
      </c>
      <c r="H244" s="240">
        <f t="shared" si="101"/>
        <v>6453154.006063467</v>
      </c>
      <c r="I244" s="240">
        <f t="shared" si="101"/>
        <v>9905120.90482525</v>
      </c>
      <c r="J244" s="240">
        <f t="shared" si="101"/>
        <v>1205794.629693831</v>
      </c>
      <c r="K244" s="240">
        <f t="shared" si="101"/>
        <v>6048455.589698762</v>
      </c>
      <c r="L244" s="240">
        <f t="shared" si="101"/>
        <v>1987624</v>
      </c>
      <c r="M244" s="240">
        <f t="shared" si="101"/>
        <v>-12142933.074501343</v>
      </c>
      <c r="N244" s="240">
        <f>SUM(N223:N243)</f>
        <v>25015718.983635504</v>
      </c>
      <c r="O244" s="291">
        <f>SUM(O223:O243)</f>
        <v>19362226.418390002</v>
      </c>
      <c r="P244" s="58"/>
    </row>
  </sheetData>
  <sheetProtection/>
  <printOptions/>
  <pageMargins left="0.28" right="0.2" top="1" bottom="1" header="0.5" footer="0.5"/>
  <pageSetup horizontalDpi="600" verticalDpi="600" orientation="landscape" scale="90" r:id="rId10"/>
  <rowBreaks count="7" manualBreakCount="7">
    <brk id="27" max="14" man="1"/>
    <brk id="53" max="14" man="1"/>
    <brk id="82" max="14" man="1"/>
    <brk id="136" max="14" man="1"/>
    <brk id="165" max="14" man="1"/>
    <brk id="193" max="14" man="1"/>
    <brk id="220" max="14" man="1"/>
  </rowBreaks>
  <ignoredErrors>
    <ignoredError sqref="N86:N90 N91:N104"/>
  </ignoredErrors>
  <tableParts>
    <tablePart r:id="rId5"/>
    <tablePart r:id="rId1"/>
    <tablePart r:id="rId2"/>
    <tablePart r:id="rId8"/>
    <tablePart r:id="rId7"/>
    <tablePart r:id="rId3"/>
    <tablePart r:id="rId4"/>
    <tablePart r:id="rId6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Q11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28125" style="196" bestFit="1" customWidth="1"/>
    <col min="2" max="2" width="28.57421875" style="196" customWidth="1"/>
    <col min="3" max="3" width="17.57421875" style="197" bestFit="1" customWidth="1"/>
    <col min="4" max="5" width="13.140625" style="198" bestFit="1" customWidth="1"/>
    <col min="6" max="6" width="21.7109375" style="196" bestFit="1" customWidth="1"/>
    <col min="7" max="7" width="27.7109375" style="196" bestFit="1" customWidth="1"/>
    <col min="8" max="8" width="16.57421875" style="196" bestFit="1" customWidth="1"/>
    <col min="9" max="9" width="13.140625" style="196" bestFit="1" customWidth="1"/>
    <col min="10" max="14" width="9.140625" style="196" customWidth="1"/>
    <col min="15" max="15" width="9.140625" style="170" customWidth="1"/>
    <col min="16" max="16384" width="9.140625" style="181" customWidth="1"/>
  </cols>
  <sheetData>
    <row r="2" spans="2:15" s="166" customFormat="1" ht="15.75" customHeight="1">
      <c r="B2" s="167"/>
      <c r="C2" s="168"/>
      <c r="D2" s="169"/>
      <c r="E2" s="169"/>
      <c r="G2" s="167"/>
      <c r="H2" s="167"/>
      <c r="I2" s="167"/>
      <c r="J2" s="167"/>
      <c r="K2" s="167"/>
      <c r="L2" s="167"/>
      <c r="M2" s="167"/>
      <c r="N2" s="167"/>
      <c r="O2" s="170"/>
    </row>
    <row r="3" spans="2:15" s="166" customFormat="1" ht="15.75" customHeight="1">
      <c r="B3" s="167" t="s">
        <v>149</v>
      </c>
      <c r="C3" s="168"/>
      <c r="D3" s="169"/>
      <c r="E3" s="169"/>
      <c r="F3" s="167"/>
      <c r="G3" s="167"/>
      <c r="H3" s="167"/>
      <c r="I3" s="167"/>
      <c r="J3" s="167"/>
      <c r="K3" s="167"/>
      <c r="L3" s="167"/>
      <c r="M3" s="167"/>
      <c r="N3" s="167"/>
      <c r="O3" s="170"/>
    </row>
    <row r="4" spans="1:14" s="166" customFormat="1" ht="15.75" customHeight="1" thickBot="1">
      <c r="A4" s="167"/>
      <c r="B4" s="167"/>
      <c r="C4" s="168" t="s">
        <v>35</v>
      </c>
      <c r="D4" s="171"/>
      <c r="E4" s="171"/>
      <c r="F4" s="167"/>
      <c r="G4" s="167"/>
      <c r="H4" s="167"/>
      <c r="I4" s="167"/>
      <c r="J4" s="167"/>
      <c r="L4" s="167"/>
      <c r="M4" s="167"/>
      <c r="N4" s="170"/>
    </row>
    <row r="5" spans="1:5" s="166" customFormat="1" ht="15.75" customHeight="1" thickBot="1">
      <c r="A5" s="172" t="s">
        <v>85</v>
      </c>
      <c r="B5" s="173" t="s">
        <v>0</v>
      </c>
      <c r="C5" s="174" t="s">
        <v>66</v>
      </c>
      <c r="D5" s="175" t="s">
        <v>148</v>
      </c>
      <c r="E5" s="175" t="s">
        <v>121</v>
      </c>
    </row>
    <row r="6" spans="1:15" ht="15.75" customHeight="1">
      <c r="A6" s="177">
        <v>1</v>
      </c>
      <c r="B6" s="178" t="s">
        <v>86</v>
      </c>
      <c r="C6" s="179">
        <v>33346570</v>
      </c>
      <c r="D6" s="180">
        <f>SUM(C6:C6)</f>
        <v>33346570</v>
      </c>
      <c r="E6" s="180">
        <v>30355454</v>
      </c>
      <c r="F6" s="182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5.75" customHeight="1">
      <c r="A7" s="183">
        <v>2</v>
      </c>
      <c r="B7" s="184" t="s">
        <v>92</v>
      </c>
      <c r="C7" s="185">
        <v>29740000</v>
      </c>
      <c r="D7" s="186">
        <f>SUM(C7:C7)</f>
        <v>29740000</v>
      </c>
      <c r="E7" s="186">
        <v>29036234</v>
      </c>
      <c r="F7" s="182"/>
      <c r="G7" s="181"/>
      <c r="H7" s="181"/>
      <c r="I7" s="181"/>
      <c r="J7" s="181"/>
      <c r="K7" s="181"/>
      <c r="L7" s="181"/>
      <c r="M7" s="181"/>
      <c r="N7" s="181"/>
      <c r="O7" s="181"/>
    </row>
    <row r="8" spans="1:15" ht="15.75" customHeight="1">
      <c r="A8" s="183">
        <v>3</v>
      </c>
      <c r="B8" s="184" t="s">
        <v>93</v>
      </c>
      <c r="C8" s="185">
        <v>3909835.326</v>
      </c>
      <c r="D8" s="186">
        <f>SUM(C8:C8)</f>
        <v>3909835.326</v>
      </c>
      <c r="E8" s="186">
        <v>3274914.111</v>
      </c>
      <c r="F8" s="258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5.75" customHeight="1">
      <c r="A9" s="183">
        <v>4</v>
      </c>
      <c r="B9" s="184" t="s">
        <v>94</v>
      </c>
      <c r="C9" s="187">
        <v>8951898.579</v>
      </c>
      <c r="D9" s="186">
        <f>SUM(C9:C9)</f>
        <v>8951898.579</v>
      </c>
      <c r="E9" s="186">
        <v>5293105.979</v>
      </c>
      <c r="F9" s="259"/>
      <c r="G9" s="181"/>
      <c r="H9" s="181"/>
      <c r="I9" s="181"/>
      <c r="J9" s="181"/>
      <c r="K9" s="181"/>
      <c r="L9" s="181"/>
      <c r="M9" s="181"/>
      <c r="N9" s="181"/>
      <c r="O9" s="181"/>
    </row>
    <row r="10" spans="1:15" ht="15.75" customHeight="1" thickBot="1">
      <c r="A10" s="188">
        <v>5</v>
      </c>
      <c r="B10" s="189" t="s">
        <v>95</v>
      </c>
      <c r="C10" s="190">
        <v>323230.871</v>
      </c>
      <c r="D10" s="191">
        <f>SUM(C10:C10)</f>
        <v>323230.871</v>
      </c>
      <c r="E10" s="191">
        <v>1148376</v>
      </c>
      <c r="F10" s="182"/>
      <c r="G10" s="181"/>
      <c r="H10" s="181"/>
      <c r="I10" s="181"/>
      <c r="J10" s="181"/>
      <c r="K10" s="181"/>
      <c r="L10" s="181"/>
      <c r="M10" s="181"/>
      <c r="N10" s="181"/>
      <c r="O10" s="181"/>
    </row>
    <row r="11" spans="1:8" s="166" customFormat="1" ht="15.75" customHeight="1" thickBot="1">
      <c r="A11" s="192"/>
      <c r="B11" s="193" t="s">
        <v>10</v>
      </c>
      <c r="C11" s="194">
        <f>SUM(C6:C10)</f>
        <v>76271534.77600001</v>
      </c>
      <c r="D11" s="195">
        <f>SUM(D6:D10)</f>
        <v>76271534.77600001</v>
      </c>
      <c r="E11" s="195">
        <v>69108084.09</v>
      </c>
      <c r="F11" s="182"/>
      <c r="H11" s="181"/>
    </row>
    <row r="12" ht="15.75" customHeight="1"/>
    <row r="13" spans="2:17" s="166" customFormat="1" ht="15.75" customHeight="1" thickBot="1">
      <c r="B13" s="167" t="s">
        <v>150</v>
      </c>
      <c r="C13" s="199" t="s">
        <v>35</v>
      </c>
      <c r="D13" s="171"/>
      <c r="E13" s="171"/>
      <c r="G13" s="167"/>
      <c r="H13" s="167"/>
      <c r="I13" s="167"/>
      <c r="J13" s="167"/>
      <c r="K13" s="167"/>
      <c r="M13" s="167"/>
      <c r="N13" s="167"/>
      <c r="O13" s="170"/>
      <c r="Q13" s="176"/>
    </row>
    <row r="14" spans="1:15" ht="15.75" customHeight="1" thickBot="1">
      <c r="A14" s="200" t="s">
        <v>85</v>
      </c>
      <c r="B14" s="201" t="s">
        <v>0</v>
      </c>
      <c r="C14" s="202" t="s">
        <v>66</v>
      </c>
      <c r="D14" s="175" t="s">
        <v>148</v>
      </c>
      <c r="E14" s="175" t="s">
        <v>121</v>
      </c>
      <c r="F14" s="182"/>
      <c r="G14" s="181"/>
      <c r="H14" s="181"/>
      <c r="I14" s="181"/>
      <c r="J14" s="181"/>
      <c r="K14" s="181"/>
      <c r="L14" s="181"/>
      <c r="M14" s="181"/>
      <c r="N14" s="181"/>
      <c r="O14" s="181"/>
    </row>
    <row r="15" spans="1:15" ht="15.75" customHeight="1">
      <c r="A15" s="177">
        <v>1</v>
      </c>
      <c r="B15" s="178" t="s">
        <v>86</v>
      </c>
      <c r="C15" s="179">
        <v>0</v>
      </c>
      <c r="D15" s="180">
        <f>SUM(C15:C15)</f>
        <v>0</v>
      </c>
      <c r="E15" s="180">
        <v>0</v>
      </c>
      <c r="F15" s="182"/>
      <c r="G15" s="181"/>
      <c r="H15" s="181"/>
      <c r="I15" s="181"/>
      <c r="J15" s="181"/>
      <c r="K15" s="181"/>
      <c r="L15" s="181"/>
      <c r="M15" s="181"/>
      <c r="N15" s="181"/>
      <c r="O15" s="181"/>
    </row>
    <row r="16" spans="1:15" ht="15.75" customHeight="1">
      <c r="A16" s="183">
        <v>2</v>
      </c>
      <c r="B16" s="184" t="s">
        <v>92</v>
      </c>
      <c r="C16" s="185">
        <v>328000</v>
      </c>
      <c r="D16" s="186">
        <f>SUM(C16:C16)</f>
        <v>328000</v>
      </c>
      <c r="E16" s="186">
        <v>239309</v>
      </c>
      <c r="F16" s="182"/>
      <c r="G16" s="181"/>
      <c r="H16" s="181"/>
      <c r="I16" s="181"/>
      <c r="J16" s="181"/>
      <c r="K16" s="181"/>
      <c r="L16" s="181"/>
      <c r="M16" s="181"/>
      <c r="N16" s="181"/>
      <c r="O16" s="181"/>
    </row>
    <row r="17" spans="1:15" ht="15.75" customHeight="1">
      <c r="A17" s="183">
        <v>3</v>
      </c>
      <c r="B17" s="184" t="s">
        <v>93</v>
      </c>
      <c r="C17" s="185"/>
      <c r="D17" s="186">
        <f>SUM(C17:C17)</f>
        <v>0</v>
      </c>
      <c r="E17" s="186">
        <v>0</v>
      </c>
      <c r="F17" s="182"/>
      <c r="G17" s="181"/>
      <c r="H17" s="181"/>
      <c r="I17" s="181"/>
      <c r="J17" s="181"/>
      <c r="K17" s="181"/>
      <c r="L17" s="181"/>
      <c r="M17" s="181"/>
      <c r="N17" s="181"/>
      <c r="O17" s="181"/>
    </row>
    <row r="18" spans="1:15" ht="15.75" customHeight="1">
      <c r="A18" s="183">
        <v>4</v>
      </c>
      <c r="B18" s="184" t="s">
        <v>94</v>
      </c>
      <c r="C18" s="187"/>
      <c r="D18" s="186">
        <f>SUM(C18:C18)</f>
        <v>0</v>
      </c>
      <c r="E18" s="186">
        <v>0</v>
      </c>
      <c r="F18" s="182"/>
      <c r="G18" s="181"/>
      <c r="H18" s="181"/>
      <c r="I18" s="181"/>
      <c r="J18" s="181"/>
      <c r="K18" s="181"/>
      <c r="L18" s="181"/>
      <c r="M18" s="181"/>
      <c r="N18" s="181"/>
      <c r="O18" s="181"/>
    </row>
    <row r="19" spans="1:15" ht="15.75" customHeight="1" thickBot="1">
      <c r="A19" s="188">
        <v>5</v>
      </c>
      <c r="B19" s="189" t="s">
        <v>95</v>
      </c>
      <c r="C19" s="190">
        <v>0</v>
      </c>
      <c r="D19" s="191">
        <f>SUM(C19:C19)</f>
        <v>0</v>
      </c>
      <c r="E19" s="191">
        <v>0</v>
      </c>
      <c r="F19" s="182"/>
      <c r="G19" s="181"/>
      <c r="H19" s="181"/>
      <c r="I19" s="181"/>
      <c r="J19" s="181"/>
      <c r="K19" s="181"/>
      <c r="L19" s="181"/>
      <c r="M19" s="181"/>
      <c r="N19" s="181"/>
      <c r="O19" s="181"/>
    </row>
    <row r="20" spans="1:15" ht="15.75" customHeight="1">
      <c r="A20" s="200"/>
      <c r="B20" s="201" t="s">
        <v>10</v>
      </c>
      <c r="C20" s="202">
        <f>SUM(C15:C19)</f>
        <v>328000</v>
      </c>
      <c r="D20" s="203">
        <f>SUM(D15:D19)</f>
        <v>328000</v>
      </c>
      <c r="E20" s="203">
        <v>239309</v>
      </c>
      <c r="F20" s="182"/>
      <c r="G20" s="181"/>
      <c r="H20" s="181"/>
      <c r="I20" s="181"/>
      <c r="J20" s="181"/>
      <c r="K20" s="181"/>
      <c r="L20" s="181"/>
      <c r="M20" s="181"/>
      <c r="N20" s="181"/>
      <c r="O20" s="181"/>
    </row>
    <row r="21" ht="15.75" customHeight="1"/>
    <row r="22" ht="15.75" customHeight="1"/>
    <row r="23" spans="1:14" ht="15.75" customHeight="1" thickBot="1">
      <c r="A23" s="181"/>
      <c r="B23" s="167" t="s">
        <v>151</v>
      </c>
      <c r="C23" s="199" t="s">
        <v>35</v>
      </c>
      <c r="F23" s="181"/>
      <c r="G23" s="167"/>
      <c r="H23" s="167"/>
      <c r="I23" s="167"/>
      <c r="J23" s="167"/>
      <c r="K23" s="167"/>
      <c r="L23" s="181"/>
      <c r="M23" s="167"/>
      <c r="N23" s="167"/>
    </row>
    <row r="24" spans="1:15" ht="15.75" customHeight="1" thickBot="1">
      <c r="A24" s="200" t="s">
        <v>85</v>
      </c>
      <c r="B24" s="201" t="s">
        <v>0</v>
      </c>
      <c r="C24" s="202" t="s">
        <v>66</v>
      </c>
      <c r="D24" s="175" t="s">
        <v>148</v>
      </c>
      <c r="E24" s="175" t="s">
        <v>121</v>
      </c>
      <c r="F24" s="181"/>
      <c r="G24" s="181"/>
      <c r="H24" s="181"/>
      <c r="I24" s="181"/>
      <c r="J24" s="181"/>
      <c r="K24" s="181"/>
      <c r="L24" s="181"/>
      <c r="M24" s="181"/>
      <c r="N24" s="181"/>
      <c r="O24" s="181"/>
    </row>
    <row r="25" spans="1:15" ht="15.75" customHeight="1">
      <c r="A25" s="177">
        <v>1</v>
      </c>
      <c r="B25" s="178" t="s">
        <v>86</v>
      </c>
      <c r="C25" s="179">
        <f aca="true" t="shared" si="0" ref="C25:D29">C6-C15</f>
        <v>33346570</v>
      </c>
      <c r="D25" s="180">
        <f t="shared" si="0"/>
        <v>33346570</v>
      </c>
      <c r="E25" s="180">
        <v>30355454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</row>
    <row r="26" spans="1:15" ht="15.75" customHeight="1">
      <c r="A26" s="183">
        <v>2</v>
      </c>
      <c r="B26" s="184" t="s">
        <v>92</v>
      </c>
      <c r="C26" s="185">
        <f t="shared" si="0"/>
        <v>29412000</v>
      </c>
      <c r="D26" s="204">
        <f t="shared" si="0"/>
        <v>29412000</v>
      </c>
      <c r="E26" s="204">
        <v>28796925</v>
      </c>
      <c r="F26" s="181"/>
      <c r="G26" s="181"/>
      <c r="H26" s="181"/>
      <c r="I26" s="181"/>
      <c r="J26" s="181"/>
      <c r="K26" s="181"/>
      <c r="L26" s="181"/>
      <c r="M26" s="181"/>
      <c r="N26" s="181"/>
      <c r="O26" s="181"/>
    </row>
    <row r="27" spans="1:15" ht="15.75" customHeight="1">
      <c r="A27" s="183">
        <v>3</v>
      </c>
      <c r="B27" s="184" t="s">
        <v>93</v>
      </c>
      <c r="C27" s="185">
        <f t="shared" si="0"/>
        <v>3909835.326</v>
      </c>
      <c r="D27" s="204">
        <f t="shared" si="0"/>
        <v>3909835.326</v>
      </c>
      <c r="E27" s="204">
        <v>3274914.111</v>
      </c>
      <c r="F27" s="181"/>
      <c r="G27" s="181"/>
      <c r="H27" s="181"/>
      <c r="I27" s="181"/>
      <c r="J27" s="181"/>
      <c r="K27" s="181"/>
      <c r="L27" s="181"/>
      <c r="M27" s="181"/>
      <c r="N27" s="181"/>
      <c r="O27" s="181"/>
    </row>
    <row r="28" spans="1:15" ht="15.75" customHeight="1">
      <c r="A28" s="183">
        <v>4</v>
      </c>
      <c r="B28" s="184" t="s">
        <v>94</v>
      </c>
      <c r="C28" s="185">
        <f t="shared" si="0"/>
        <v>8951898.579</v>
      </c>
      <c r="D28" s="204">
        <f t="shared" si="0"/>
        <v>8951898.579</v>
      </c>
      <c r="E28" s="204">
        <v>5293105.979</v>
      </c>
      <c r="F28" s="181"/>
      <c r="G28" s="181"/>
      <c r="H28" s="181"/>
      <c r="I28" s="181"/>
      <c r="J28" s="181"/>
      <c r="K28" s="181"/>
      <c r="L28" s="181"/>
      <c r="M28" s="181"/>
      <c r="N28" s="181"/>
      <c r="O28" s="181"/>
    </row>
    <row r="29" spans="1:15" ht="15.75" customHeight="1">
      <c r="A29" s="183">
        <v>5</v>
      </c>
      <c r="B29" s="184" t="s">
        <v>95</v>
      </c>
      <c r="C29" s="185">
        <f t="shared" si="0"/>
        <v>323230.871</v>
      </c>
      <c r="D29" s="204">
        <f t="shared" si="0"/>
        <v>323230.871</v>
      </c>
      <c r="E29" s="204">
        <v>1148376</v>
      </c>
      <c r="F29" s="181"/>
      <c r="G29" s="181"/>
      <c r="H29" s="181"/>
      <c r="I29" s="181"/>
      <c r="J29" s="181"/>
      <c r="K29" s="181"/>
      <c r="L29" s="181"/>
      <c r="M29" s="181"/>
      <c r="N29" s="181"/>
      <c r="O29" s="181"/>
    </row>
    <row r="30" spans="1:15" ht="15.75" customHeight="1">
      <c r="A30" s="200"/>
      <c r="B30" s="201" t="s">
        <v>10</v>
      </c>
      <c r="C30" s="202">
        <f>SUBTOTAL(109,C25:C29)</f>
        <v>75943534.77600001</v>
      </c>
      <c r="D30" s="203">
        <f>SUBTOTAL(109,D25:D29)</f>
        <v>75943534.77600001</v>
      </c>
      <c r="E30" s="203">
        <v>68868775.09</v>
      </c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  <row r="31" ht="15.75" customHeight="1"/>
    <row r="32" ht="15.75" customHeight="1"/>
    <row r="33" spans="1:14" ht="15.75" customHeight="1" thickBot="1">
      <c r="A33" s="181"/>
      <c r="B33" s="167" t="s">
        <v>152</v>
      </c>
      <c r="C33" s="168"/>
      <c r="D33" s="169"/>
      <c r="E33" s="169"/>
      <c r="F33" s="167"/>
      <c r="G33" s="167"/>
      <c r="H33" s="167"/>
      <c r="I33" s="167"/>
      <c r="J33" s="167"/>
      <c r="K33" s="167"/>
      <c r="L33" s="167"/>
      <c r="M33" s="167"/>
      <c r="N33" s="167"/>
    </row>
    <row r="34" spans="1:15" ht="15.75" customHeight="1" thickBot="1">
      <c r="A34" s="200" t="s">
        <v>85</v>
      </c>
      <c r="B34" s="201" t="s">
        <v>0</v>
      </c>
      <c r="C34" s="202" t="s">
        <v>66</v>
      </c>
      <c r="D34" s="175" t="s">
        <v>148</v>
      </c>
      <c r="E34" s="175" t="s">
        <v>121</v>
      </c>
      <c r="F34" s="181"/>
      <c r="G34" s="181"/>
      <c r="H34" s="181"/>
      <c r="I34" s="181"/>
      <c r="J34" s="181"/>
      <c r="K34" s="181"/>
      <c r="L34" s="181"/>
      <c r="M34" s="181"/>
      <c r="N34" s="181"/>
      <c r="O34" s="181"/>
    </row>
    <row r="35" spans="1:15" ht="15.75" customHeight="1">
      <c r="A35" s="177">
        <v>1</v>
      </c>
      <c r="B35" s="178" t="s">
        <v>86</v>
      </c>
      <c r="C35" s="205">
        <f aca="true" t="shared" si="1" ref="C35:D40">_xlfn.IFERROR((((C15/C6))*100),"")</f>
        <v>0</v>
      </c>
      <c r="D35" s="206">
        <f t="shared" si="1"/>
        <v>0</v>
      </c>
      <c r="E35" s="206">
        <v>0</v>
      </c>
      <c r="F35" s="181"/>
      <c r="G35" s="181"/>
      <c r="H35" s="181"/>
      <c r="I35" s="181"/>
      <c r="J35" s="181"/>
      <c r="K35" s="181"/>
      <c r="L35" s="181"/>
      <c r="M35" s="181"/>
      <c r="N35" s="181"/>
      <c r="O35" s="181"/>
    </row>
    <row r="36" spans="1:15" ht="15.75" customHeight="1">
      <c r="A36" s="183">
        <v>2</v>
      </c>
      <c r="B36" s="184" t="s">
        <v>92</v>
      </c>
      <c r="C36" s="207">
        <f t="shared" si="1"/>
        <v>1.1028917283120376</v>
      </c>
      <c r="D36" s="208">
        <f t="shared" si="1"/>
        <v>1.1028917283120376</v>
      </c>
      <c r="E36" s="208">
        <v>0.8241736858850222</v>
      </c>
      <c r="F36" s="181"/>
      <c r="G36" s="181"/>
      <c r="H36" s="181"/>
      <c r="I36" s="181"/>
      <c r="J36" s="181"/>
      <c r="K36" s="181"/>
      <c r="L36" s="181"/>
      <c r="M36" s="181"/>
      <c r="N36" s="181"/>
      <c r="O36" s="181"/>
    </row>
    <row r="37" spans="1:15" ht="15.75" customHeight="1">
      <c r="A37" s="183">
        <v>3</v>
      </c>
      <c r="B37" s="184" t="s">
        <v>93</v>
      </c>
      <c r="C37" s="207">
        <f t="shared" si="1"/>
        <v>0</v>
      </c>
      <c r="D37" s="208">
        <f t="shared" si="1"/>
        <v>0</v>
      </c>
      <c r="E37" s="208">
        <v>0</v>
      </c>
      <c r="F37" s="181"/>
      <c r="G37" s="181"/>
      <c r="H37" s="181"/>
      <c r="I37" s="181"/>
      <c r="J37" s="181"/>
      <c r="K37" s="181"/>
      <c r="L37" s="181"/>
      <c r="M37" s="181"/>
      <c r="N37" s="181"/>
      <c r="O37" s="181"/>
    </row>
    <row r="38" spans="1:15" ht="15.75" customHeight="1">
      <c r="A38" s="183">
        <v>4</v>
      </c>
      <c r="B38" s="184" t="s">
        <v>94</v>
      </c>
      <c r="C38" s="207">
        <f t="shared" si="1"/>
        <v>0</v>
      </c>
      <c r="D38" s="208">
        <f t="shared" si="1"/>
        <v>0</v>
      </c>
      <c r="E38" s="208">
        <v>0</v>
      </c>
      <c r="F38" s="181"/>
      <c r="G38" s="181"/>
      <c r="H38" s="181"/>
      <c r="I38" s="181"/>
      <c r="J38" s="181"/>
      <c r="K38" s="181"/>
      <c r="L38" s="181"/>
      <c r="M38" s="181"/>
      <c r="N38" s="181"/>
      <c r="O38" s="181"/>
    </row>
    <row r="39" spans="1:15" ht="15.75" customHeight="1" thickBot="1">
      <c r="A39" s="188">
        <v>5</v>
      </c>
      <c r="B39" s="189" t="s">
        <v>95</v>
      </c>
      <c r="C39" s="209">
        <f t="shared" si="1"/>
        <v>0</v>
      </c>
      <c r="D39" s="210">
        <f t="shared" si="1"/>
        <v>0</v>
      </c>
      <c r="E39" s="210">
        <v>0</v>
      </c>
      <c r="F39" s="181"/>
      <c r="G39" s="181"/>
      <c r="H39" s="181"/>
      <c r="I39" s="181"/>
      <c r="J39" s="181"/>
      <c r="K39" s="181"/>
      <c r="L39" s="181"/>
      <c r="M39" s="181"/>
      <c r="N39" s="181"/>
      <c r="O39" s="181"/>
    </row>
    <row r="40" spans="1:15" ht="15.75" customHeight="1">
      <c r="A40" s="200"/>
      <c r="B40" s="201" t="s">
        <v>10</v>
      </c>
      <c r="C40" s="205">
        <f t="shared" si="1"/>
        <v>0.43004248041329585</v>
      </c>
      <c r="D40" s="211">
        <f t="shared" si="1"/>
        <v>0.43004248041329585</v>
      </c>
      <c r="E40" s="211">
        <v>0.3462822087331288</v>
      </c>
      <c r="F40" s="181"/>
      <c r="G40" s="181"/>
      <c r="H40" s="181"/>
      <c r="I40" s="181"/>
      <c r="J40" s="181"/>
      <c r="K40" s="181"/>
      <c r="L40" s="181"/>
      <c r="M40" s="181"/>
      <c r="N40" s="181"/>
      <c r="O40" s="181"/>
    </row>
    <row r="41" spans="3:14" ht="15.75" customHeight="1">
      <c r="C41" s="168"/>
      <c r="D41" s="169"/>
      <c r="E41" s="169"/>
      <c r="F41" s="167"/>
      <c r="G41" s="167"/>
      <c r="H41" s="167"/>
      <c r="I41" s="167"/>
      <c r="J41" s="167"/>
      <c r="K41" s="167"/>
      <c r="L41" s="167"/>
      <c r="M41" s="167"/>
      <c r="N41" s="167"/>
    </row>
    <row r="42" ht="15.75" customHeight="1"/>
    <row r="43" spans="1:14" ht="15.75" customHeight="1" thickBot="1">
      <c r="A43" s="181"/>
      <c r="B43" s="167" t="s">
        <v>153</v>
      </c>
      <c r="C43" s="168"/>
      <c r="D43" s="169"/>
      <c r="E43" s="169"/>
      <c r="F43" s="167"/>
      <c r="G43" s="167"/>
      <c r="H43" s="167"/>
      <c r="I43" s="167"/>
      <c r="J43" s="167"/>
      <c r="K43" s="167"/>
      <c r="L43" s="167"/>
      <c r="M43" s="167"/>
      <c r="N43" s="167"/>
    </row>
    <row r="44" spans="1:15" ht="15.75" customHeight="1" thickBot="1">
      <c r="A44" s="200" t="s">
        <v>85</v>
      </c>
      <c r="B44" s="201" t="s">
        <v>0</v>
      </c>
      <c r="C44" s="202" t="s">
        <v>66</v>
      </c>
      <c r="D44" s="175" t="s">
        <v>148</v>
      </c>
      <c r="E44" s="175" t="s">
        <v>121</v>
      </c>
      <c r="F44" s="181"/>
      <c r="G44" s="181"/>
      <c r="H44" s="181"/>
      <c r="I44" s="181"/>
      <c r="J44" s="181"/>
      <c r="K44" s="181"/>
      <c r="L44" s="181"/>
      <c r="M44" s="181"/>
      <c r="N44" s="181"/>
      <c r="O44" s="181"/>
    </row>
    <row r="45" spans="1:15" ht="15.75" customHeight="1">
      <c r="A45" s="177">
        <v>1</v>
      </c>
      <c r="B45" s="178" t="s">
        <v>86</v>
      </c>
      <c r="C45" s="212">
        <f aca="true" t="shared" si="2" ref="C45:D50">_xlfn.IFERROR((((C25/C6))*100),"")</f>
        <v>100</v>
      </c>
      <c r="D45" s="213">
        <f t="shared" si="2"/>
        <v>100</v>
      </c>
      <c r="E45" s="213">
        <v>100</v>
      </c>
      <c r="F45" s="181"/>
      <c r="G45" s="181"/>
      <c r="H45" s="181"/>
      <c r="I45" s="181"/>
      <c r="J45" s="181"/>
      <c r="K45" s="181"/>
      <c r="L45" s="181"/>
      <c r="M45" s="181"/>
      <c r="N45" s="181"/>
      <c r="O45" s="181"/>
    </row>
    <row r="46" spans="1:15" ht="15.75" customHeight="1">
      <c r="A46" s="183">
        <v>2</v>
      </c>
      <c r="B46" s="184" t="s">
        <v>92</v>
      </c>
      <c r="C46" s="214">
        <f t="shared" si="2"/>
        <v>98.89710827168796</v>
      </c>
      <c r="D46" s="215">
        <f t="shared" si="2"/>
        <v>98.89710827168796</v>
      </c>
      <c r="E46" s="215">
        <v>99.17582631411499</v>
      </c>
      <c r="F46" s="181"/>
      <c r="G46" s="181"/>
      <c r="H46" s="181"/>
      <c r="I46" s="181"/>
      <c r="J46" s="181"/>
      <c r="K46" s="181"/>
      <c r="L46" s="181"/>
      <c r="M46" s="181"/>
      <c r="N46" s="181"/>
      <c r="O46" s="181"/>
    </row>
    <row r="47" spans="1:15" ht="15.75" customHeight="1">
      <c r="A47" s="183">
        <v>3</v>
      </c>
      <c r="B47" s="184" t="s">
        <v>93</v>
      </c>
      <c r="C47" s="214">
        <f t="shared" si="2"/>
        <v>100</v>
      </c>
      <c r="D47" s="215">
        <f t="shared" si="2"/>
        <v>100</v>
      </c>
      <c r="E47" s="215">
        <v>100</v>
      </c>
      <c r="F47" s="181"/>
      <c r="G47" s="181"/>
      <c r="H47" s="181"/>
      <c r="I47" s="181"/>
      <c r="J47" s="181"/>
      <c r="K47" s="181"/>
      <c r="L47" s="181"/>
      <c r="M47" s="181"/>
      <c r="N47" s="181"/>
      <c r="O47" s="181"/>
    </row>
    <row r="48" spans="1:15" ht="15.75" customHeight="1">
      <c r="A48" s="183">
        <v>4</v>
      </c>
      <c r="B48" s="184" t="s">
        <v>94</v>
      </c>
      <c r="C48" s="214">
        <f t="shared" si="2"/>
        <v>100</v>
      </c>
      <c r="D48" s="215">
        <f t="shared" si="2"/>
        <v>100</v>
      </c>
      <c r="E48" s="215">
        <v>100</v>
      </c>
      <c r="F48" s="181"/>
      <c r="G48" s="181"/>
      <c r="H48" s="181"/>
      <c r="I48" s="181"/>
      <c r="J48" s="181"/>
      <c r="K48" s="181"/>
      <c r="L48" s="181"/>
      <c r="M48" s="181"/>
      <c r="N48" s="181"/>
      <c r="O48" s="181"/>
    </row>
    <row r="49" spans="1:15" ht="15.75" customHeight="1" thickBot="1">
      <c r="A49" s="188">
        <v>5</v>
      </c>
      <c r="B49" s="189" t="s">
        <v>95</v>
      </c>
      <c r="C49" s="216">
        <f t="shared" si="2"/>
        <v>100</v>
      </c>
      <c r="D49" s="217">
        <f t="shared" si="2"/>
        <v>100</v>
      </c>
      <c r="E49" s="217">
        <v>100</v>
      </c>
      <c r="F49" s="181"/>
      <c r="G49" s="181"/>
      <c r="H49" s="181"/>
      <c r="I49" s="181"/>
      <c r="J49" s="181"/>
      <c r="K49" s="181"/>
      <c r="L49" s="181"/>
      <c r="M49" s="181"/>
      <c r="N49" s="181"/>
      <c r="O49" s="181"/>
    </row>
    <row r="50" spans="1:15" ht="15.75" customHeight="1">
      <c r="A50" s="200"/>
      <c r="B50" s="201" t="s">
        <v>10</v>
      </c>
      <c r="C50" s="212">
        <f t="shared" si="2"/>
        <v>99.56995751958671</v>
      </c>
      <c r="D50" s="213">
        <f t="shared" si="2"/>
        <v>99.56995751958671</v>
      </c>
      <c r="E50" s="213">
        <v>99.65371779126687</v>
      </c>
      <c r="F50" s="181"/>
      <c r="G50" s="181"/>
      <c r="H50" s="181"/>
      <c r="I50" s="181"/>
      <c r="J50" s="181"/>
      <c r="K50" s="181"/>
      <c r="L50" s="181"/>
      <c r="M50" s="181"/>
      <c r="N50" s="181"/>
      <c r="O50" s="181"/>
    </row>
    <row r="51" spans="3:14" ht="15.75" customHeight="1">
      <c r="C51" s="168"/>
      <c r="D51" s="169"/>
      <c r="E51" s="169"/>
      <c r="F51" s="167"/>
      <c r="G51" s="167"/>
      <c r="H51" s="167"/>
      <c r="I51" s="167"/>
      <c r="J51" s="167"/>
      <c r="K51" s="167"/>
      <c r="L51" s="167"/>
      <c r="M51" s="167"/>
      <c r="N51" s="167"/>
    </row>
    <row r="52" spans="1:14" ht="15.75" customHeight="1">
      <c r="A52" s="167"/>
      <c r="B52" s="167"/>
      <c r="C52" s="168"/>
      <c r="D52" s="169"/>
      <c r="E52" s="169"/>
      <c r="F52" s="167"/>
      <c r="G52" s="167"/>
      <c r="H52" s="167"/>
      <c r="I52" s="167"/>
      <c r="J52" s="167"/>
      <c r="K52" s="167"/>
      <c r="L52" s="167"/>
      <c r="M52" s="167"/>
      <c r="N52" s="167"/>
    </row>
    <row r="53" spans="1:14" ht="15.75" customHeight="1" thickBot="1">
      <c r="A53" s="181"/>
      <c r="B53" s="167" t="s">
        <v>154</v>
      </c>
      <c r="C53" s="199" t="s">
        <v>35</v>
      </c>
      <c r="G53" s="167"/>
      <c r="H53" s="167"/>
      <c r="I53" s="167"/>
      <c r="J53" s="167"/>
      <c r="K53" s="167"/>
      <c r="L53" s="181"/>
      <c r="M53" s="167"/>
      <c r="N53" s="167"/>
    </row>
    <row r="54" spans="1:15" ht="15.75" customHeight="1" thickBot="1">
      <c r="A54" s="200" t="s">
        <v>85</v>
      </c>
      <c r="B54" s="201" t="s">
        <v>0</v>
      </c>
      <c r="C54" s="202" t="s">
        <v>66</v>
      </c>
      <c r="D54" s="175" t="s">
        <v>148</v>
      </c>
      <c r="E54" s="175" t="s">
        <v>121</v>
      </c>
      <c r="F54" s="181"/>
      <c r="G54" s="181"/>
      <c r="H54" s="181"/>
      <c r="I54" s="181"/>
      <c r="J54" s="181"/>
      <c r="K54" s="181"/>
      <c r="L54" s="181"/>
      <c r="M54" s="181"/>
      <c r="N54" s="181"/>
      <c r="O54" s="181"/>
    </row>
    <row r="55" spans="1:15" ht="15.75" customHeight="1">
      <c r="A55" s="177">
        <v>1</v>
      </c>
      <c r="B55" s="178" t="s">
        <v>86</v>
      </c>
      <c r="C55" s="179">
        <f>C25</f>
        <v>33346570</v>
      </c>
      <c r="D55" s="180">
        <f>SUM(C55:C55)</f>
        <v>33346570</v>
      </c>
      <c r="E55" s="180">
        <v>30355454</v>
      </c>
      <c r="F55" s="181"/>
      <c r="G55" s="181"/>
      <c r="H55" s="181"/>
      <c r="I55" s="181"/>
      <c r="J55" s="181"/>
      <c r="K55" s="181"/>
      <c r="L55" s="181"/>
      <c r="M55" s="181"/>
      <c r="N55" s="181"/>
      <c r="O55" s="181"/>
    </row>
    <row r="56" spans="1:15" ht="15.75" customHeight="1">
      <c r="A56" s="183">
        <v>2</v>
      </c>
      <c r="B56" s="184" t="s">
        <v>92</v>
      </c>
      <c r="C56" s="185">
        <v>29937000</v>
      </c>
      <c r="D56" s="186">
        <f>SUM(C56:C56)</f>
        <v>29937000</v>
      </c>
      <c r="E56" s="186">
        <v>27686609</v>
      </c>
      <c r="F56" s="181"/>
      <c r="G56" s="181"/>
      <c r="H56" s="181"/>
      <c r="I56" s="181"/>
      <c r="J56" s="181"/>
      <c r="K56" s="181"/>
      <c r="L56" s="181"/>
      <c r="M56" s="181"/>
      <c r="N56" s="181"/>
      <c r="O56" s="181"/>
    </row>
    <row r="57" spans="1:15" ht="15.75" customHeight="1">
      <c r="A57" s="183">
        <v>3</v>
      </c>
      <c r="B57" s="184" t="s">
        <v>93</v>
      </c>
      <c r="C57" s="185">
        <v>3655866.84</v>
      </c>
      <c r="D57" s="186">
        <f>SUM(C57:C57)</f>
        <v>3655866.84</v>
      </c>
      <c r="E57" s="186">
        <v>3274914.111</v>
      </c>
      <c r="F57" s="181"/>
      <c r="G57" s="181"/>
      <c r="H57" s="181"/>
      <c r="I57" s="181"/>
      <c r="J57" s="181"/>
      <c r="K57" s="181"/>
      <c r="L57" s="181"/>
      <c r="M57" s="181"/>
      <c r="N57" s="181"/>
      <c r="O57" s="181"/>
    </row>
    <row r="58" spans="1:15" ht="15.75" customHeight="1">
      <c r="A58" s="183">
        <v>4</v>
      </c>
      <c r="B58" s="184" t="s">
        <v>94</v>
      </c>
      <c r="C58" s="187">
        <f>C9</f>
        <v>8951898.579</v>
      </c>
      <c r="D58" s="186">
        <f>SUM(C58:C58)</f>
        <v>8951898.579</v>
      </c>
      <c r="E58" s="186">
        <v>5293105.979</v>
      </c>
      <c r="F58" s="181"/>
      <c r="G58" s="181"/>
      <c r="H58" s="181"/>
      <c r="I58" s="181"/>
      <c r="J58" s="181"/>
      <c r="K58" s="181"/>
      <c r="L58" s="181"/>
      <c r="M58" s="181"/>
      <c r="N58" s="181"/>
      <c r="O58" s="181"/>
    </row>
    <row r="59" spans="1:15" ht="15.75" customHeight="1" thickBot="1">
      <c r="A59" s="188">
        <v>5</v>
      </c>
      <c r="B59" s="189" t="s">
        <v>95</v>
      </c>
      <c r="C59" s="190">
        <f>C29</f>
        <v>323230.871</v>
      </c>
      <c r="D59" s="191">
        <f>SUM(C59:C59)</f>
        <v>323230.871</v>
      </c>
      <c r="E59" s="191">
        <v>1148376</v>
      </c>
      <c r="F59" s="181"/>
      <c r="G59" s="181"/>
      <c r="H59" s="181"/>
      <c r="I59" s="181"/>
      <c r="J59" s="181"/>
      <c r="K59" s="181"/>
      <c r="L59" s="181"/>
      <c r="M59" s="181"/>
      <c r="N59" s="181"/>
      <c r="O59" s="181"/>
    </row>
    <row r="60" spans="1:15" ht="15.75" customHeight="1">
      <c r="A60" s="200"/>
      <c r="B60" s="201" t="s">
        <v>10</v>
      </c>
      <c r="C60" s="202">
        <f>SUM(C55:C59)</f>
        <v>76214566.29</v>
      </c>
      <c r="D60" s="203">
        <f>SUM(D55:D59)</f>
        <v>76214566.29</v>
      </c>
      <c r="E60" s="203">
        <v>67758459.09</v>
      </c>
      <c r="F60" s="181"/>
      <c r="G60" s="181"/>
      <c r="H60" s="181"/>
      <c r="I60" s="181"/>
      <c r="J60" s="181"/>
      <c r="K60" s="181"/>
      <c r="L60" s="181"/>
      <c r="M60" s="181"/>
      <c r="N60" s="181"/>
      <c r="O60" s="181"/>
    </row>
    <row r="61" ht="15.75" customHeight="1"/>
    <row r="62" ht="15.75" customHeight="1"/>
    <row r="63" spans="1:14" ht="15.75" customHeight="1" thickBot="1">
      <c r="A63" s="181"/>
      <c r="B63" s="167" t="s">
        <v>155</v>
      </c>
      <c r="C63" s="199" t="s">
        <v>35</v>
      </c>
      <c r="G63" s="167"/>
      <c r="H63" s="167"/>
      <c r="I63" s="167"/>
      <c r="J63" s="167"/>
      <c r="K63" s="167"/>
      <c r="L63" s="181"/>
      <c r="M63" s="167"/>
      <c r="N63" s="167"/>
    </row>
    <row r="64" spans="1:15" ht="15.75" customHeight="1" thickBot="1">
      <c r="A64" s="200" t="s">
        <v>85</v>
      </c>
      <c r="B64" s="201" t="s">
        <v>0</v>
      </c>
      <c r="C64" s="202" t="s">
        <v>66</v>
      </c>
      <c r="D64" s="175" t="s">
        <v>148</v>
      </c>
      <c r="E64" s="175" t="s">
        <v>121</v>
      </c>
      <c r="F64" s="181"/>
      <c r="G64" s="181"/>
      <c r="H64" s="181"/>
      <c r="I64" s="181"/>
      <c r="J64" s="181"/>
      <c r="K64" s="181"/>
      <c r="L64" s="181"/>
      <c r="M64" s="181"/>
      <c r="N64" s="181"/>
      <c r="O64" s="181"/>
    </row>
    <row r="65" spans="1:15" ht="15.75" customHeight="1">
      <c r="A65" s="177">
        <v>1</v>
      </c>
      <c r="B65" s="178" t="s">
        <v>86</v>
      </c>
      <c r="C65" s="179">
        <v>27826664</v>
      </c>
      <c r="D65" s="180">
        <f>SUM(C65:C65)</f>
        <v>27826664</v>
      </c>
      <c r="E65" s="180">
        <v>26100134</v>
      </c>
      <c r="F65" s="181"/>
      <c r="G65" s="181"/>
      <c r="H65" s="181"/>
      <c r="I65" s="181"/>
      <c r="J65" s="181"/>
      <c r="K65" s="181"/>
      <c r="L65" s="181"/>
      <c r="M65" s="181"/>
      <c r="N65" s="181"/>
      <c r="O65" s="181"/>
    </row>
    <row r="66" spans="1:15" ht="15.75" customHeight="1">
      <c r="A66" s="183">
        <v>2</v>
      </c>
      <c r="B66" s="184" t="s">
        <v>92</v>
      </c>
      <c r="C66" s="185">
        <v>23606000</v>
      </c>
      <c r="D66" s="186">
        <f>SUM(C66:C66)</f>
        <v>23606000</v>
      </c>
      <c r="E66" s="186">
        <v>19854205</v>
      </c>
      <c r="F66" s="258"/>
      <c r="G66" s="181"/>
      <c r="H66" s="181"/>
      <c r="I66" s="181"/>
      <c r="J66" s="181"/>
      <c r="K66" s="181"/>
      <c r="L66" s="181"/>
      <c r="M66" s="181"/>
      <c r="N66" s="181"/>
      <c r="O66" s="181"/>
    </row>
    <row r="67" spans="1:15" ht="15.75" customHeight="1">
      <c r="A67" s="183">
        <v>3</v>
      </c>
      <c r="B67" s="184" t="s">
        <v>93</v>
      </c>
      <c r="C67" s="185">
        <v>2772106.787</v>
      </c>
      <c r="D67" s="186">
        <f>SUM(C67:C67)</f>
        <v>2772106.787</v>
      </c>
      <c r="E67" s="186">
        <v>2712815.671</v>
      </c>
      <c r="F67" s="181"/>
      <c r="G67" s="181"/>
      <c r="H67" s="181"/>
      <c r="I67" s="181"/>
      <c r="J67" s="181"/>
      <c r="K67" s="181"/>
      <c r="L67" s="181"/>
      <c r="M67" s="181"/>
      <c r="N67" s="181"/>
      <c r="O67" s="181"/>
    </row>
    <row r="68" spans="1:15" ht="15.75" customHeight="1">
      <c r="A68" s="183">
        <v>4</v>
      </c>
      <c r="B68" s="184" t="s">
        <v>94</v>
      </c>
      <c r="C68" s="187">
        <v>5202884.749</v>
      </c>
      <c r="D68" s="186">
        <f>SUM(C68:C68)</f>
        <v>5202884.749</v>
      </c>
      <c r="E68" s="186">
        <v>3357485.472</v>
      </c>
      <c r="F68" s="181"/>
      <c r="G68" s="181"/>
      <c r="H68" s="181"/>
      <c r="I68" s="181"/>
      <c r="J68" s="181"/>
      <c r="K68" s="181"/>
      <c r="L68" s="181"/>
      <c r="M68" s="181"/>
      <c r="N68" s="181"/>
      <c r="O68" s="181"/>
    </row>
    <row r="69" spans="1:15" ht="15.75" customHeight="1" thickBot="1">
      <c r="A69" s="188">
        <v>5</v>
      </c>
      <c r="B69" s="189" t="s">
        <v>95</v>
      </c>
      <c r="C69" s="190">
        <v>293987.42</v>
      </c>
      <c r="D69" s="191">
        <f>SUM(C69:C69)</f>
        <v>293987.42</v>
      </c>
      <c r="E69" s="191">
        <v>1084430.303</v>
      </c>
      <c r="F69" s="181"/>
      <c r="G69" s="181"/>
      <c r="H69" s="181"/>
      <c r="I69" s="181"/>
      <c r="J69" s="181"/>
      <c r="K69" s="181"/>
      <c r="L69" s="181"/>
      <c r="M69" s="181"/>
      <c r="N69" s="181"/>
      <c r="O69" s="181"/>
    </row>
    <row r="70" spans="1:15" ht="15.75" customHeight="1">
      <c r="A70" s="200"/>
      <c r="B70" s="201" t="s">
        <v>10</v>
      </c>
      <c r="C70" s="202">
        <f>SUM(C65:C69)</f>
        <v>59701642.956</v>
      </c>
      <c r="D70" s="203">
        <f>SUM(D65:D69)</f>
        <v>59701642.956</v>
      </c>
      <c r="E70" s="203">
        <v>53109070.44600001</v>
      </c>
      <c r="F70" s="181"/>
      <c r="G70" s="181"/>
      <c r="H70" s="181"/>
      <c r="I70" s="181"/>
      <c r="J70" s="181"/>
      <c r="K70" s="181"/>
      <c r="L70" s="181"/>
      <c r="M70" s="181"/>
      <c r="N70" s="181"/>
      <c r="O70" s="181"/>
    </row>
    <row r="71" ht="15.75" customHeight="1"/>
    <row r="72" ht="15.75" customHeight="1"/>
    <row r="73" spans="1:14" ht="15.75" customHeight="1" thickBot="1">
      <c r="A73" s="181"/>
      <c r="B73" s="167" t="s">
        <v>156</v>
      </c>
      <c r="C73" s="168"/>
      <c r="D73" s="169"/>
      <c r="E73" s="169"/>
      <c r="F73" s="167"/>
      <c r="G73" s="167"/>
      <c r="H73" s="167"/>
      <c r="I73" s="167"/>
      <c r="J73" s="167"/>
      <c r="K73" s="167"/>
      <c r="L73" s="167"/>
      <c r="M73" s="167"/>
      <c r="N73" s="167"/>
    </row>
    <row r="74" spans="1:15" ht="15.75" customHeight="1" thickBot="1">
      <c r="A74" s="200" t="s">
        <v>85</v>
      </c>
      <c r="B74" s="201" t="s">
        <v>0</v>
      </c>
      <c r="C74" s="202" t="s">
        <v>66</v>
      </c>
      <c r="D74" s="175" t="s">
        <v>148</v>
      </c>
      <c r="E74" s="175" t="s">
        <v>121</v>
      </c>
      <c r="F74" s="181"/>
      <c r="G74" s="181"/>
      <c r="H74" s="181"/>
      <c r="I74" s="181"/>
      <c r="J74" s="181"/>
      <c r="K74" s="181"/>
      <c r="L74" s="181"/>
      <c r="M74" s="181"/>
      <c r="N74" s="181"/>
      <c r="O74" s="181"/>
    </row>
    <row r="75" spans="1:15" ht="15.75" customHeight="1">
      <c r="A75" s="177">
        <v>1</v>
      </c>
      <c r="B75" s="178" t="s">
        <v>86</v>
      </c>
      <c r="C75" s="212">
        <f aca="true" t="shared" si="3" ref="C75:D80">_xlfn.IFERROR((((C65/C55))*100),"")</f>
        <v>83.44685525377872</v>
      </c>
      <c r="D75" s="218">
        <f t="shared" si="3"/>
        <v>83.44685525377872</v>
      </c>
      <c r="E75" s="218">
        <v>85.98169541460325</v>
      </c>
      <c r="F75" s="181"/>
      <c r="G75" s="181"/>
      <c r="H75" s="181"/>
      <c r="I75" s="181"/>
      <c r="J75" s="181"/>
      <c r="K75" s="181"/>
      <c r="L75" s="181"/>
      <c r="M75" s="181"/>
      <c r="N75" s="181"/>
      <c r="O75" s="181"/>
    </row>
    <row r="76" spans="1:15" ht="15.75" customHeight="1">
      <c r="A76" s="183">
        <v>2</v>
      </c>
      <c r="B76" s="184" t="s">
        <v>92</v>
      </c>
      <c r="C76" s="214">
        <f t="shared" si="3"/>
        <v>78.85225640511742</v>
      </c>
      <c r="D76" s="219">
        <f t="shared" si="3"/>
        <v>78.85225640511742</v>
      </c>
      <c r="E76" s="219">
        <v>71.71049730214342</v>
      </c>
      <c r="F76" s="181"/>
      <c r="G76" s="181"/>
      <c r="H76" s="181"/>
      <c r="I76" s="181"/>
      <c r="J76" s="181"/>
      <c r="K76" s="181"/>
      <c r="L76" s="181"/>
      <c r="M76" s="181"/>
      <c r="N76" s="181"/>
      <c r="O76" s="181"/>
    </row>
    <row r="77" spans="1:15" ht="15.75" customHeight="1">
      <c r="A77" s="183">
        <v>3</v>
      </c>
      <c r="B77" s="184" t="s">
        <v>93</v>
      </c>
      <c r="C77" s="214">
        <f t="shared" si="3"/>
        <v>75.8262515655521</v>
      </c>
      <c r="D77" s="219">
        <f t="shared" si="3"/>
        <v>75.8262515655521</v>
      </c>
      <c r="E77" s="219">
        <v>82.83623872418559</v>
      </c>
      <c r="F77" s="181"/>
      <c r="G77" s="181"/>
      <c r="H77" s="181"/>
      <c r="I77" s="181"/>
      <c r="J77" s="181"/>
      <c r="K77" s="181"/>
      <c r="L77" s="181"/>
      <c r="M77" s="181"/>
      <c r="N77" s="181"/>
      <c r="O77" s="181"/>
    </row>
    <row r="78" spans="1:15" ht="15.75" customHeight="1">
      <c r="A78" s="183">
        <v>4</v>
      </c>
      <c r="B78" s="184" t="s">
        <v>94</v>
      </c>
      <c r="C78" s="214">
        <f t="shared" si="3"/>
        <v>58.12046129750952</v>
      </c>
      <c r="D78" s="219">
        <f t="shared" si="3"/>
        <v>58.12046129750952</v>
      </c>
      <c r="E78" s="219">
        <v>63.43129129325147</v>
      </c>
      <c r="F78" s="181"/>
      <c r="G78" s="181"/>
      <c r="H78" s="181"/>
      <c r="I78" s="181"/>
      <c r="J78" s="181"/>
      <c r="K78" s="181"/>
      <c r="L78" s="181"/>
      <c r="M78" s="181"/>
      <c r="N78" s="181"/>
      <c r="O78" s="181"/>
    </row>
    <row r="79" spans="1:15" ht="15.75" customHeight="1" thickBot="1">
      <c r="A79" s="188">
        <v>5</v>
      </c>
      <c r="B79" s="189" t="s">
        <v>95</v>
      </c>
      <c r="C79" s="216">
        <f t="shared" si="3"/>
        <v>90.95276669906941</v>
      </c>
      <c r="D79" s="220">
        <f t="shared" si="3"/>
        <v>90.95276669906941</v>
      </c>
      <c r="E79" s="220">
        <v>94.43164111754339</v>
      </c>
      <c r="F79" s="181"/>
      <c r="G79" s="181"/>
      <c r="H79" s="181"/>
      <c r="I79" s="181"/>
      <c r="J79" s="181"/>
      <c r="K79" s="181"/>
      <c r="L79" s="181"/>
      <c r="M79" s="181"/>
      <c r="N79" s="181"/>
      <c r="O79" s="181"/>
    </row>
    <row r="80" spans="1:15" ht="15.75" customHeight="1">
      <c r="A80" s="200"/>
      <c r="B80" s="201" t="s">
        <v>10</v>
      </c>
      <c r="C80" s="221">
        <f t="shared" si="3"/>
        <v>78.33363864964139</v>
      </c>
      <c r="D80" s="222">
        <f t="shared" si="3"/>
        <v>78.33363864964139</v>
      </c>
      <c r="E80" s="222">
        <v>78.37998555347609</v>
      </c>
      <c r="F80" s="181"/>
      <c r="G80" s="181"/>
      <c r="H80" s="181"/>
      <c r="I80" s="181"/>
      <c r="J80" s="181"/>
      <c r="K80" s="181"/>
      <c r="L80" s="181"/>
      <c r="M80" s="181"/>
      <c r="N80" s="181"/>
      <c r="O80" s="181"/>
    </row>
    <row r="81" ht="15.75" customHeight="1"/>
    <row r="82" ht="15.75" customHeight="1"/>
    <row r="83" ht="15.75" customHeight="1"/>
    <row r="84" spans="1:14" ht="15.75" customHeight="1" thickBot="1">
      <c r="A84" s="181"/>
      <c r="B84" s="167" t="s">
        <v>157</v>
      </c>
      <c r="C84" s="199" t="s">
        <v>35</v>
      </c>
      <c r="G84" s="167"/>
      <c r="H84" s="167"/>
      <c r="I84" s="167"/>
      <c r="J84" s="167"/>
      <c r="K84" s="167"/>
      <c r="L84" s="181"/>
      <c r="M84" s="167"/>
      <c r="N84" s="167"/>
    </row>
    <row r="85" spans="1:15" ht="15.75" customHeight="1" thickBot="1">
      <c r="A85" s="200" t="s">
        <v>85</v>
      </c>
      <c r="B85" s="201" t="s">
        <v>0</v>
      </c>
      <c r="C85" s="202" t="s">
        <v>66</v>
      </c>
      <c r="D85" s="175" t="s">
        <v>148</v>
      </c>
      <c r="E85" s="175" t="s">
        <v>121</v>
      </c>
      <c r="F85" s="181"/>
      <c r="G85" s="181"/>
      <c r="H85" s="181"/>
      <c r="I85" s="181"/>
      <c r="J85" s="181"/>
      <c r="K85" s="181"/>
      <c r="L85" s="181"/>
      <c r="M85" s="181"/>
      <c r="N85" s="181"/>
      <c r="O85" s="181"/>
    </row>
    <row r="86" spans="1:15" ht="15.75" customHeight="1">
      <c r="A86" s="177">
        <v>1</v>
      </c>
      <c r="B86" s="178" t="s">
        <v>86</v>
      </c>
      <c r="C86" s="179">
        <v>-663639</v>
      </c>
      <c r="D86" s="180">
        <f>SUM(C86:C86)</f>
        <v>-663639</v>
      </c>
      <c r="E86" s="180">
        <v>1038735</v>
      </c>
      <c r="F86" s="181"/>
      <c r="G86" s="181"/>
      <c r="H86" s="181"/>
      <c r="I86" s="181"/>
      <c r="J86" s="181"/>
      <c r="K86" s="181"/>
      <c r="L86" s="181"/>
      <c r="M86" s="181"/>
      <c r="N86" s="181"/>
      <c r="O86" s="181"/>
    </row>
    <row r="87" spans="1:15" ht="15.75" customHeight="1">
      <c r="A87" s="183">
        <v>2</v>
      </c>
      <c r="B87" s="184" t="s">
        <v>92</v>
      </c>
      <c r="C87" s="185">
        <v>-496000</v>
      </c>
      <c r="D87" s="186">
        <f>SUM(C87:C87)</f>
        <v>-496000</v>
      </c>
      <c r="E87" s="186">
        <v>759444</v>
      </c>
      <c r="F87" s="181"/>
      <c r="G87" s="181"/>
      <c r="H87" s="181"/>
      <c r="I87" s="181"/>
      <c r="J87" s="181"/>
      <c r="K87" s="181"/>
      <c r="L87" s="181"/>
      <c r="M87" s="181"/>
      <c r="N87" s="181"/>
      <c r="O87" s="181"/>
    </row>
    <row r="88" spans="1:15" ht="15.75" customHeight="1">
      <c r="A88" s="183">
        <v>3</v>
      </c>
      <c r="B88" s="184" t="s">
        <v>93</v>
      </c>
      <c r="C88" s="185">
        <v>507.759</v>
      </c>
      <c r="D88" s="186">
        <f>SUM(C88:C88)</f>
        <v>507.759</v>
      </c>
      <c r="E88" s="186">
        <v>-73828.644</v>
      </c>
      <c r="F88" s="260"/>
      <c r="G88" s="181">
        <v>-436794292</v>
      </c>
      <c r="H88" s="181"/>
      <c r="I88" s="181"/>
      <c r="J88" s="181"/>
      <c r="K88" s="181"/>
      <c r="L88" s="181"/>
      <c r="M88" s="181"/>
      <c r="N88" s="181"/>
      <c r="O88" s="181"/>
    </row>
    <row r="89" spans="1:15" ht="15.75" customHeight="1">
      <c r="A89" s="183">
        <v>4</v>
      </c>
      <c r="B89" s="184" t="s">
        <v>94</v>
      </c>
      <c r="C89" s="187">
        <v>2066590.414</v>
      </c>
      <c r="D89" s="186">
        <f>SUM(C89:C89)</f>
        <v>2066590.414</v>
      </c>
      <c r="E89" s="186">
        <v>306596.368</v>
      </c>
      <c r="F89" s="181"/>
      <c r="G89" s="181">
        <v>-528525877</v>
      </c>
      <c r="H89" s="181">
        <v>288979100</v>
      </c>
      <c r="I89" s="181"/>
      <c r="J89" s="181"/>
      <c r="K89" s="181"/>
      <c r="L89" s="181"/>
      <c r="M89" s="181"/>
      <c r="N89" s="181"/>
      <c r="O89" s="181"/>
    </row>
    <row r="90" spans="1:15" ht="15.75" customHeight="1" thickBot="1">
      <c r="A90" s="188">
        <v>5</v>
      </c>
      <c r="B90" s="189" t="s">
        <v>95</v>
      </c>
      <c r="C90" s="190">
        <v>4121.605</v>
      </c>
      <c r="D90" s="191">
        <f>SUM(C90:C90)</f>
        <v>4121.605</v>
      </c>
      <c r="E90" s="191">
        <v>2526.023</v>
      </c>
      <c r="F90" s="242"/>
      <c r="G90" s="181">
        <v>-6054503</v>
      </c>
      <c r="H90" s="181"/>
      <c r="I90" s="181"/>
      <c r="J90" s="181"/>
      <c r="K90" s="181"/>
      <c r="L90" s="181"/>
      <c r="M90" s="181"/>
      <c r="N90" s="181"/>
      <c r="O90" s="181"/>
    </row>
    <row r="91" spans="1:15" ht="15.75" customHeight="1">
      <c r="A91" s="200"/>
      <c r="B91" s="201" t="s">
        <v>10</v>
      </c>
      <c r="C91" s="202">
        <f>SUM(C86:C90)</f>
        <v>911580.7780000002</v>
      </c>
      <c r="D91" s="203">
        <f>SUM(D86:D90)</f>
        <v>911580.7780000002</v>
      </c>
      <c r="E91" s="203">
        <v>2033472.747</v>
      </c>
      <c r="F91" s="181"/>
      <c r="G91" s="181">
        <f>SUM(G88:G90)</f>
        <v>-971374672</v>
      </c>
      <c r="H91" s="181">
        <f>G91+H89</f>
        <v>-682395572</v>
      </c>
      <c r="I91" s="181"/>
      <c r="J91" s="181"/>
      <c r="K91" s="181"/>
      <c r="L91" s="181"/>
      <c r="M91" s="181"/>
      <c r="N91" s="181"/>
      <c r="O91" s="181"/>
    </row>
    <row r="92" ht="15.75" customHeight="1"/>
    <row r="93" ht="15.75" customHeight="1"/>
    <row r="94" spans="1:7" ht="15.75" customHeight="1" thickBot="1">
      <c r="A94" s="181"/>
      <c r="B94" s="167" t="s">
        <v>96</v>
      </c>
      <c r="C94" s="199" t="s">
        <v>35</v>
      </c>
      <c r="F94" s="261"/>
      <c r="G94" s="261"/>
    </row>
    <row r="95" spans="1:7" ht="15.75" customHeight="1" thickBot="1">
      <c r="A95" s="200" t="s">
        <v>85</v>
      </c>
      <c r="B95" s="201" t="s">
        <v>0</v>
      </c>
      <c r="C95" s="202" t="s">
        <v>66</v>
      </c>
      <c r="D95" s="175" t="s">
        <v>148</v>
      </c>
      <c r="E95" s="175" t="s">
        <v>121</v>
      </c>
      <c r="F95" s="261"/>
      <c r="G95" s="261"/>
    </row>
    <row r="96" spans="1:7" ht="15.75" customHeight="1">
      <c r="A96" s="177">
        <v>1</v>
      </c>
      <c r="B96" s="178" t="s">
        <v>86</v>
      </c>
      <c r="C96" s="179">
        <v>2875595</v>
      </c>
      <c r="D96" s="180">
        <f>SUM(C96:C96)</f>
        <v>2875595</v>
      </c>
      <c r="E96" s="180">
        <v>1607882</v>
      </c>
      <c r="F96" s="261"/>
      <c r="G96" s="261"/>
    </row>
    <row r="97" spans="1:7" ht="15.75" customHeight="1">
      <c r="A97" s="183">
        <v>2</v>
      </c>
      <c r="B97" s="184" t="s">
        <v>92</v>
      </c>
      <c r="C97" s="185">
        <v>3028000</v>
      </c>
      <c r="D97" s="186">
        <f>SUM(C97:C97)</f>
        <v>3028000</v>
      </c>
      <c r="E97" s="186">
        <v>3006156</v>
      </c>
      <c r="F97" s="261"/>
      <c r="G97" s="262"/>
    </row>
    <row r="98" spans="1:7" ht="15.75" customHeight="1">
      <c r="A98" s="183">
        <v>3</v>
      </c>
      <c r="B98" s="184" t="s">
        <v>93</v>
      </c>
      <c r="C98" s="185">
        <v>288979.1</v>
      </c>
      <c r="D98" s="186">
        <f>SUM(C98:C98)</f>
        <v>288979.1</v>
      </c>
      <c r="E98" s="186">
        <v>203755</v>
      </c>
      <c r="F98" s="263"/>
      <c r="G98" s="262"/>
    </row>
    <row r="99" spans="1:7" ht="15.75" customHeight="1" thickBot="1">
      <c r="A99" s="183">
        <v>4</v>
      </c>
      <c r="B99" s="184" t="s">
        <v>94</v>
      </c>
      <c r="C99" s="187">
        <v>537219.752</v>
      </c>
      <c r="D99" s="186">
        <f>SUM(C99:C99)</f>
        <v>537219.752</v>
      </c>
      <c r="E99" s="186">
        <v>248268.91</v>
      </c>
      <c r="F99" s="261"/>
      <c r="G99" s="262"/>
    </row>
    <row r="100" spans="1:7" ht="15.75" customHeight="1" thickBot="1">
      <c r="A100" s="188">
        <v>5</v>
      </c>
      <c r="B100" s="189" t="s">
        <v>95</v>
      </c>
      <c r="C100" s="179">
        <v>0</v>
      </c>
      <c r="D100" s="191">
        <f>SUM(C100:C100)</f>
        <v>0</v>
      </c>
      <c r="E100" s="191">
        <v>73848.157</v>
      </c>
      <c r="F100" s="261"/>
      <c r="G100" s="261"/>
    </row>
    <row r="101" spans="1:7" ht="15.75" customHeight="1">
      <c r="A101" s="200"/>
      <c r="B101" s="201" t="s">
        <v>10</v>
      </c>
      <c r="C101" s="202">
        <f>SUM(C96:C100)</f>
        <v>6729793.852</v>
      </c>
      <c r="D101" s="203">
        <f>SUM(D96:D100)</f>
        <v>6729793.852</v>
      </c>
      <c r="E101" s="203">
        <v>5139910.067</v>
      </c>
      <c r="F101" s="261"/>
      <c r="G101" s="261"/>
    </row>
    <row r="102" spans="6:7" ht="15.75" customHeight="1">
      <c r="F102" s="261"/>
      <c r="G102" s="261"/>
    </row>
    <row r="103" spans="1:7" ht="15.75" customHeight="1" thickBot="1">
      <c r="A103" s="181"/>
      <c r="B103" s="167" t="s">
        <v>97</v>
      </c>
      <c r="C103" s="167" t="s">
        <v>35</v>
      </c>
      <c r="D103" s="196"/>
      <c r="E103" s="196"/>
      <c r="F103" s="261"/>
      <c r="G103" s="261"/>
    </row>
    <row r="104" spans="1:7" ht="15.75" customHeight="1" thickBot="1">
      <c r="A104" s="200" t="s">
        <v>85</v>
      </c>
      <c r="B104" s="201" t="s">
        <v>0</v>
      </c>
      <c r="C104" s="201" t="s">
        <v>66</v>
      </c>
      <c r="D104" s="175" t="s">
        <v>148</v>
      </c>
      <c r="E104" s="175" t="s">
        <v>121</v>
      </c>
      <c r="F104" s="261"/>
      <c r="G104" s="264"/>
    </row>
    <row r="105" spans="1:7" ht="15.75" customHeight="1">
      <c r="A105" s="177">
        <v>1</v>
      </c>
      <c r="B105" s="178" t="s">
        <v>86</v>
      </c>
      <c r="C105" s="178">
        <v>4372391</v>
      </c>
      <c r="D105" s="224">
        <f>SUM(C105:C105)</f>
        <v>4372391</v>
      </c>
      <c r="E105" s="224">
        <v>4080807</v>
      </c>
      <c r="G105" s="223"/>
    </row>
    <row r="106" spans="1:5" ht="15.75" customHeight="1">
      <c r="A106" s="183">
        <v>2</v>
      </c>
      <c r="B106" s="184" t="s">
        <v>92</v>
      </c>
      <c r="C106" s="184">
        <f>4710000+452000+22000</f>
        <v>5184000</v>
      </c>
      <c r="D106" s="225">
        <f>SUM(C106:C106)</f>
        <v>5184000</v>
      </c>
      <c r="E106" s="225">
        <v>5473354</v>
      </c>
    </row>
    <row r="107" spans="1:5" ht="15.75" customHeight="1">
      <c r="A107" s="183">
        <v>3</v>
      </c>
      <c r="B107" s="184" t="s">
        <v>93</v>
      </c>
      <c r="C107" s="184">
        <v>682395.572</v>
      </c>
      <c r="D107" s="225">
        <f>SUM(C107:C107)</f>
        <v>682395.572</v>
      </c>
      <c r="E107" s="225">
        <v>663301.617</v>
      </c>
    </row>
    <row r="108" spans="1:5" ht="15.75" customHeight="1">
      <c r="A108" s="183">
        <v>4</v>
      </c>
      <c r="B108" s="184" t="s">
        <v>94</v>
      </c>
      <c r="C108" s="226">
        <v>1013193.1</v>
      </c>
      <c r="D108" s="225">
        <f>SUM(C108:C108)</f>
        <v>1013193.1</v>
      </c>
      <c r="E108" s="225">
        <v>1443755.139</v>
      </c>
    </row>
    <row r="109" spans="1:5" ht="15.75" customHeight="1" thickBot="1">
      <c r="A109" s="188">
        <v>5</v>
      </c>
      <c r="B109" s="189" t="s">
        <v>95</v>
      </c>
      <c r="C109" s="189">
        <v>50901.024</v>
      </c>
      <c r="D109" s="227">
        <f>SUM(C109:C109)</f>
        <v>50901.024</v>
      </c>
      <c r="E109" s="227">
        <v>78008.75</v>
      </c>
    </row>
    <row r="110" spans="1:5" ht="15.75" customHeight="1">
      <c r="A110" s="200"/>
      <c r="B110" s="201" t="s">
        <v>10</v>
      </c>
      <c r="C110" s="201">
        <f>SUM(C105:C109)</f>
        <v>11302880.696</v>
      </c>
      <c r="D110" s="201">
        <f>SUM(D105:D109)</f>
        <v>11302880.696</v>
      </c>
      <c r="E110" s="201">
        <v>11739226.506000001</v>
      </c>
    </row>
  </sheetData>
  <sheetProtection/>
  <printOptions/>
  <pageMargins left="0.7" right="0.7" top="0.75" bottom="0.75" header="0.3" footer="0.3"/>
  <pageSetup horizontalDpi="600" verticalDpi="600" orientation="portrait" r:id="rId11"/>
  <tableParts>
    <tablePart r:id="rId4"/>
    <tablePart r:id="rId1"/>
    <tablePart r:id="rId5"/>
    <tablePart r:id="rId3"/>
    <tablePart r:id="rId2"/>
    <tablePart r:id="rId9"/>
    <tablePart r:id="rId6"/>
    <tablePart r:id="rId10"/>
    <tablePart r:id="rId7"/>
    <tablePart r:id="rId8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9.140625" style="275" customWidth="1"/>
    <col min="2" max="2" width="28.00390625" style="275" customWidth="1"/>
    <col min="3" max="3" width="18.8515625" style="275" bestFit="1" customWidth="1"/>
    <col min="4" max="4" width="17.57421875" style="275" bestFit="1" customWidth="1"/>
    <col min="5" max="5" width="18.8515625" style="275" bestFit="1" customWidth="1"/>
    <col min="6" max="16384" width="9.140625" style="275" customWidth="1"/>
  </cols>
  <sheetData>
    <row r="1" spans="1:6" ht="15.75">
      <c r="A1" s="274"/>
      <c r="B1" s="274"/>
      <c r="C1" s="274"/>
      <c r="D1" s="274"/>
      <c r="E1" s="274"/>
      <c r="F1" s="274"/>
    </row>
    <row r="2" spans="1:6" ht="15.75">
      <c r="A2" s="274"/>
      <c r="B2" s="333">
        <v>2019</v>
      </c>
      <c r="C2" s="274"/>
      <c r="D2" s="276"/>
      <c r="E2" s="274"/>
      <c r="F2" s="274"/>
    </row>
    <row r="3" spans="1:6" ht="15.75">
      <c r="A3" s="274"/>
      <c r="B3" s="277"/>
      <c r="C3" s="278" t="s">
        <v>98</v>
      </c>
      <c r="D3" s="278" t="s">
        <v>99</v>
      </c>
      <c r="E3" s="286" t="s">
        <v>10</v>
      </c>
      <c r="F3" s="274"/>
    </row>
    <row r="4" spans="1:6" ht="15.75">
      <c r="A4" s="274"/>
      <c r="B4" s="279" t="s">
        <v>55</v>
      </c>
      <c r="C4" s="280">
        <v>47817921.914</v>
      </c>
      <c r="D4" s="280">
        <v>2715065.811</v>
      </c>
      <c r="E4" s="287">
        <f>C4+D4</f>
        <v>50532987.724999994</v>
      </c>
      <c r="F4" s="274"/>
    </row>
    <row r="5" spans="1:6" ht="15.75">
      <c r="A5" s="274"/>
      <c r="B5" s="279" t="s">
        <v>100</v>
      </c>
      <c r="C5" s="280">
        <v>230612.632</v>
      </c>
      <c r="D5" s="280">
        <v>0</v>
      </c>
      <c r="E5" s="287">
        <f aca="true" t="shared" si="0" ref="E5:E11">C5+D5</f>
        <v>230612.632</v>
      </c>
      <c r="F5" s="274"/>
    </row>
    <row r="6" spans="1:6" ht="15.75">
      <c r="A6" s="274"/>
      <c r="B6" s="279" t="s">
        <v>101</v>
      </c>
      <c r="C6" s="280">
        <v>19237953.488</v>
      </c>
      <c r="D6" s="280">
        <v>1303333.271</v>
      </c>
      <c r="E6" s="287">
        <f t="shared" si="0"/>
        <v>20541286.759000003</v>
      </c>
      <c r="F6" s="274"/>
    </row>
    <row r="7" spans="1:6" ht="15.75">
      <c r="A7" s="274"/>
      <c r="B7" s="279" t="s">
        <v>102</v>
      </c>
      <c r="C7" s="280">
        <f>C4+C5-C6</f>
        <v>28810581.057999995</v>
      </c>
      <c r="D7" s="280">
        <f>D4+D5-D6</f>
        <v>1411732.5400000003</v>
      </c>
      <c r="E7" s="287">
        <f>C7+D7</f>
        <v>30222313.597999994</v>
      </c>
      <c r="F7" s="274"/>
    </row>
    <row r="8" spans="1:6" ht="15.75">
      <c r="A8" s="274"/>
      <c r="B8" s="279" t="s">
        <v>103</v>
      </c>
      <c r="C8" s="280">
        <v>25146363.216</v>
      </c>
      <c r="D8" s="280">
        <v>1177236.038</v>
      </c>
      <c r="E8" s="287">
        <f t="shared" si="0"/>
        <v>26323599.253999997</v>
      </c>
      <c r="F8" s="274"/>
    </row>
    <row r="9" spans="1:6" ht="15.75">
      <c r="A9" s="274"/>
      <c r="B9" s="279" t="s">
        <v>104</v>
      </c>
      <c r="C9" s="280">
        <v>14344748.171</v>
      </c>
      <c r="D9" s="280">
        <v>232730.779</v>
      </c>
      <c r="E9" s="287">
        <f t="shared" si="0"/>
        <v>14577478.95</v>
      </c>
      <c r="F9" s="274"/>
    </row>
    <row r="10" spans="1:6" ht="15.75">
      <c r="A10" s="274"/>
      <c r="B10" s="279" t="s">
        <v>105</v>
      </c>
      <c r="C10" s="280">
        <v>11045285.792</v>
      </c>
      <c r="D10" s="280">
        <v>376558.174</v>
      </c>
      <c r="E10" s="287">
        <f t="shared" si="0"/>
        <v>11421843.966</v>
      </c>
      <c r="F10" s="274"/>
    </row>
    <row r="11" spans="1:6" ht="15.75">
      <c r="A11" s="274"/>
      <c r="B11" s="281" t="s">
        <v>97</v>
      </c>
      <c r="C11" s="282">
        <v>3546673.85097</v>
      </c>
      <c r="D11" s="282">
        <v>201377.486</v>
      </c>
      <c r="E11" s="288">
        <f t="shared" si="0"/>
        <v>3748051.33697</v>
      </c>
      <c r="F11" s="274"/>
    </row>
    <row r="12" spans="1:6" ht="15.75">
      <c r="A12" s="274"/>
      <c r="B12" s="276"/>
      <c r="C12" s="276"/>
      <c r="D12" s="276"/>
      <c r="E12" s="276"/>
      <c r="F12" s="274"/>
    </row>
    <row r="13" spans="1:6" ht="15.75">
      <c r="A13" s="274"/>
      <c r="B13" s="276"/>
      <c r="C13" s="283"/>
      <c r="D13" s="274"/>
      <c r="E13" s="274"/>
      <c r="F13" s="274"/>
    </row>
    <row r="14" spans="1:6" ht="15.75">
      <c r="A14" s="274"/>
      <c r="B14" s="284" t="s">
        <v>106</v>
      </c>
      <c r="C14" s="285">
        <f>C6/C4</f>
        <v>0.40231680336504894</v>
      </c>
      <c r="D14" s="285">
        <f>D6/D4</f>
        <v>0.4800374509227687</v>
      </c>
      <c r="E14" s="285">
        <f>E6/E4</f>
        <v>0.4064926236062961</v>
      </c>
      <c r="F14" s="274"/>
    </row>
    <row r="15" spans="1:6" ht="15.75">
      <c r="A15" s="274"/>
      <c r="B15" s="284" t="s">
        <v>107</v>
      </c>
      <c r="C15" s="289">
        <f>C7/C4</f>
        <v>0.6025059204750784</v>
      </c>
      <c r="D15" s="289">
        <f>D7/D4</f>
        <v>0.5199625490772313</v>
      </c>
      <c r="E15" s="289">
        <f>E7/E4</f>
        <v>0.5980709821170582</v>
      </c>
      <c r="F15" s="274"/>
    </row>
    <row r="16" spans="1:6" ht="15.75">
      <c r="A16" s="274"/>
      <c r="B16" s="284" t="s">
        <v>108</v>
      </c>
      <c r="C16" s="285">
        <f>C9/C8</f>
        <v>0.5704502097493286</v>
      </c>
      <c r="D16" s="285">
        <f>D9/D8</f>
        <v>0.1976925369999589</v>
      </c>
      <c r="E16" s="285">
        <f>E9/E8</f>
        <v>0.5537798539379025</v>
      </c>
      <c r="F16" s="274"/>
    </row>
    <row r="17" spans="1:6" ht="15.75">
      <c r="A17" s="274"/>
      <c r="B17" s="284" t="s">
        <v>109</v>
      </c>
      <c r="C17" s="289">
        <f>C10/C4</f>
        <v>0.23098631956162427</v>
      </c>
      <c r="D17" s="289">
        <f>D10/D4</f>
        <v>0.13869209817102293</v>
      </c>
      <c r="E17" s="289">
        <f>E10/E4</f>
        <v>0.2260274818531918</v>
      </c>
      <c r="F17" s="274"/>
    </row>
    <row r="18" spans="1:6" ht="15.75">
      <c r="A18" s="274"/>
      <c r="B18" s="284" t="s">
        <v>78</v>
      </c>
      <c r="C18" s="289">
        <f>C11/C4</f>
        <v>0.07417038861179819</v>
      </c>
      <c r="D18" s="289">
        <f>D11/D4</f>
        <v>0.07417038849818142</v>
      </c>
      <c r="E18" s="289">
        <f>E11/E4</f>
        <v>0.07417038860569372</v>
      </c>
      <c r="F18" s="274"/>
    </row>
    <row r="19" spans="1:6" ht="15.75">
      <c r="A19" s="274"/>
      <c r="B19" s="274"/>
      <c r="C19" s="274"/>
      <c r="D19" s="274"/>
      <c r="E19" s="274"/>
      <c r="F19" s="274"/>
    </row>
    <row r="20" spans="1:6" ht="15.75">
      <c r="A20" s="274"/>
      <c r="B20" s="274"/>
      <c r="C20" s="274"/>
      <c r="D20" s="274"/>
      <c r="E20" s="274"/>
      <c r="F20" s="2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03"/>
  <sheetViews>
    <sheetView zoomScalePageLayoutView="0" workbookViewId="0" topLeftCell="A1">
      <selection activeCell="J5" sqref="J5"/>
    </sheetView>
  </sheetViews>
  <sheetFormatPr defaultColWidth="9.140625" defaultRowHeight="12.75"/>
  <cols>
    <col min="1" max="1" width="1.421875" style="0" customWidth="1"/>
    <col min="2" max="2" width="4.140625" style="4" bestFit="1" customWidth="1"/>
    <col min="3" max="3" width="13.421875" style="4" customWidth="1"/>
    <col min="4" max="4" width="11.57421875" style="4" customWidth="1"/>
    <col min="5" max="5" width="10.28125" style="4" bestFit="1" customWidth="1"/>
    <col min="6" max="6" width="17.421875" style="4" bestFit="1" customWidth="1"/>
    <col min="7" max="7" width="19.8515625" style="8" bestFit="1" customWidth="1"/>
    <col min="8" max="8" width="12.8515625" style="4" bestFit="1" customWidth="1"/>
    <col min="9" max="9" width="12.8515625" style="14" bestFit="1" customWidth="1"/>
    <col min="10" max="10" width="17.28125" style="23" bestFit="1" customWidth="1"/>
    <col min="11" max="11" width="9.00390625" style="23" bestFit="1" customWidth="1"/>
    <col min="12" max="12" width="9.00390625" style="0" bestFit="1" customWidth="1"/>
    <col min="13" max="13" width="8.28125" style="0" bestFit="1" customWidth="1"/>
    <col min="14" max="62" width="9.140625" style="23" customWidth="1"/>
  </cols>
  <sheetData>
    <row r="1" ht="19.5" customHeight="1">
      <c r="J1" s="228"/>
    </row>
    <row r="2" spans="3:9" ht="19.5" customHeight="1">
      <c r="C2" s="4" t="s">
        <v>146</v>
      </c>
      <c r="F2" s="8"/>
      <c r="G2" s="4"/>
      <c r="H2" s="14"/>
      <c r="I2"/>
    </row>
    <row r="3" ht="19.5" customHeight="1">
      <c r="F3" s="8" t="s">
        <v>35</v>
      </c>
    </row>
    <row r="4" spans="2:62" ht="21" customHeight="1">
      <c r="B4" s="64" t="s">
        <v>85</v>
      </c>
      <c r="C4" s="64" t="s">
        <v>0</v>
      </c>
      <c r="D4" s="64" t="s">
        <v>20</v>
      </c>
      <c r="E4" s="64" t="s">
        <v>21</v>
      </c>
      <c r="F4" s="64" t="s">
        <v>66</v>
      </c>
      <c r="G4" s="322" t="s">
        <v>173</v>
      </c>
      <c r="H4" s="64" t="s">
        <v>114</v>
      </c>
      <c r="I4" s="9" t="s">
        <v>147</v>
      </c>
      <c r="J4" s="6" t="s">
        <v>91</v>
      </c>
      <c r="K4"/>
      <c r="L4" s="23"/>
      <c r="M4" s="23"/>
      <c r="BI4"/>
      <c r="BJ4"/>
    </row>
    <row r="5" spans="2:62" ht="19.5" customHeight="1">
      <c r="B5" s="63">
        <v>1</v>
      </c>
      <c r="C5" s="64" t="s">
        <v>113</v>
      </c>
      <c r="D5" s="64">
        <v>138904.754</v>
      </c>
      <c r="E5" s="64">
        <v>0</v>
      </c>
      <c r="F5" s="64">
        <v>868.708</v>
      </c>
      <c r="G5" s="322">
        <v>536837.012</v>
      </c>
      <c r="H5" s="64">
        <v>0</v>
      </c>
      <c r="I5" s="24">
        <f>SUM(D5:H5)</f>
        <v>676610.4739999999</v>
      </c>
      <c r="J5" s="64">
        <v>24315.675000000003</v>
      </c>
      <c r="K5"/>
      <c r="L5" s="23"/>
      <c r="M5" s="23"/>
      <c r="BI5"/>
      <c r="BJ5"/>
    </row>
    <row r="6" spans="2:62" ht="19.5" customHeight="1">
      <c r="B6" s="314">
        <v>2</v>
      </c>
      <c r="C6" s="315" t="s">
        <v>138</v>
      </c>
      <c r="D6" s="316">
        <v>0</v>
      </c>
      <c r="E6" s="316">
        <v>0</v>
      </c>
      <c r="F6" s="317">
        <v>0</v>
      </c>
      <c r="G6" s="317">
        <v>0</v>
      </c>
      <c r="H6" s="316">
        <v>0</v>
      </c>
      <c r="I6" s="24">
        <f>SUM(D6:H6)</f>
        <v>0</v>
      </c>
      <c r="J6" s="318">
        <v>0</v>
      </c>
      <c r="K6"/>
      <c r="L6" s="23"/>
      <c r="M6" s="23"/>
      <c r="BI6"/>
      <c r="BJ6"/>
    </row>
    <row r="7" spans="1:62" ht="19.5" customHeight="1">
      <c r="A7" s="21"/>
      <c r="B7" s="138"/>
      <c r="C7" s="139" t="s">
        <v>10</v>
      </c>
      <c r="D7" s="139">
        <f>SUM(D5:D6)</f>
        <v>138904.754</v>
      </c>
      <c r="E7" s="139">
        <f aca="true" t="shared" si="0" ref="E7:J7">SUM(E5:E6)</f>
        <v>0</v>
      </c>
      <c r="F7" s="139">
        <f t="shared" si="0"/>
        <v>868.708</v>
      </c>
      <c r="G7" s="139">
        <f t="shared" si="0"/>
        <v>536837.012</v>
      </c>
      <c r="H7" s="139">
        <f t="shared" si="0"/>
        <v>0</v>
      </c>
      <c r="I7" s="139">
        <f t="shared" si="0"/>
        <v>676610.4739999999</v>
      </c>
      <c r="J7" s="139">
        <f t="shared" si="0"/>
        <v>24315.675000000003</v>
      </c>
      <c r="K7" s="21"/>
      <c r="L7" s="23"/>
      <c r="M7" s="23"/>
      <c r="BI7"/>
      <c r="BJ7"/>
    </row>
    <row r="8" spans="2:9" s="23" customFormat="1" ht="19.5" customHeight="1">
      <c r="B8" s="4"/>
      <c r="C8" s="4"/>
      <c r="D8" s="4"/>
      <c r="E8" s="4"/>
      <c r="F8" s="4"/>
      <c r="G8" s="8"/>
      <c r="H8" s="27"/>
      <c r="I8" s="28"/>
    </row>
    <row r="9" spans="4:9" ht="19.5" customHeight="1">
      <c r="D9" s="4" t="s">
        <v>145</v>
      </c>
      <c r="H9" s="27"/>
      <c r="I9" s="28"/>
    </row>
    <row r="10" spans="6:9" ht="19.5" customHeight="1">
      <c r="F10" s="8" t="s">
        <v>35</v>
      </c>
      <c r="H10" s="27"/>
      <c r="I10" s="28"/>
    </row>
    <row r="11" spans="2:10" ht="19.5" customHeight="1">
      <c r="B11" s="64" t="s">
        <v>85</v>
      </c>
      <c r="C11" s="19" t="s">
        <v>0</v>
      </c>
      <c r="D11" s="19" t="s">
        <v>20</v>
      </c>
      <c r="E11" s="19" t="s">
        <v>21</v>
      </c>
      <c r="F11" s="19" t="s">
        <v>66</v>
      </c>
      <c r="G11" s="322" t="s">
        <v>173</v>
      </c>
      <c r="H11" s="19" t="s">
        <v>114</v>
      </c>
      <c r="I11" s="9" t="s">
        <v>147</v>
      </c>
      <c r="J11" s="6" t="s">
        <v>91</v>
      </c>
    </row>
    <row r="12" spans="2:10" ht="19.5" customHeight="1">
      <c r="B12" s="63">
        <v>1</v>
      </c>
      <c r="C12" s="64" t="s">
        <v>113</v>
      </c>
      <c r="D12" s="64">
        <v>42454.133</v>
      </c>
      <c r="E12" s="322">
        <v>0</v>
      </c>
      <c r="F12" s="322">
        <v>199.375</v>
      </c>
      <c r="G12" s="322">
        <v>0</v>
      </c>
      <c r="H12" s="64">
        <f>SUM(G10:G11)</f>
        <v>0</v>
      </c>
      <c r="I12" s="9">
        <f>SUM(D12:H12)</f>
        <v>42653.508</v>
      </c>
      <c r="J12" s="156">
        <v>5797.995999999999</v>
      </c>
    </row>
    <row r="13" spans="2:10" ht="19.5" customHeight="1">
      <c r="B13" s="314">
        <v>2</v>
      </c>
      <c r="C13" s="315" t="s">
        <v>138</v>
      </c>
      <c r="D13" s="319">
        <v>0</v>
      </c>
      <c r="E13" s="319">
        <v>0</v>
      </c>
      <c r="F13" s="319">
        <v>0</v>
      </c>
      <c r="G13" s="319">
        <v>0</v>
      </c>
      <c r="H13" s="319">
        <v>0</v>
      </c>
      <c r="I13" s="9">
        <f>SUM(D13:H13)</f>
        <v>0</v>
      </c>
      <c r="J13" s="321"/>
    </row>
    <row r="14" spans="1:13" ht="19.5" customHeight="1">
      <c r="A14" s="23"/>
      <c r="B14" s="17"/>
      <c r="C14" s="11" t="s">
        <v>10</v>
      </c>
      <c r="D14" s="11">
        <f aca="true" t="shared" si="1" ref="D14:I14">SUM(D12:D13)</f>
        <v>42454.133</v>
      </c>
      <c r="E14" s="11">
        <f t="shared" si="1"/>
        <v>0</v>
      </c>
      <c r="F14" s="11">
        <f t="shared" si="1"/>
        <v>199.375</v>
      </c>
      <c r="G14" s="11">
        <f t="shared" si="1"/>
        <v>0</v>
      </c>
      <c r="H14" s="11">
        <f t="shared" si="1"/>
        <v>0</v>
      </c>
      <c r="I14" s="11">
        <f t="shared" si="1"/>
        <v>42653.508</v>
      </c>
      <c r="J14" s="11">
        <v>5797.995999999999</v>
      </c>
      <c r="L14" s="23"/>
      <c r="M14" s="23"/>
    </row>
    <row r="15" spans="1:13" ht="19.5" customHeight="1">
      <c r="A15" s="23"/>
      <c r="L15" s="23"/>
      <c r="M15" s="23"/>
    </row>
    <row r="16" ht="19.5" customHeight="1"/>
    <row r="17" ht="19.5" customHeight="1">
      <c r="D17" s="4" t="s">
        <v>144</v>
      </c>
    </row>
    <row r="18" ht="19.5" customHeight="1">
      <c r="F18" s="30" t="s">
        <v>35</v>
      </c>
    </row>
    <row r="19" spans="2:10" ht="19.5" customHeight="1">
      <c r="B19" s="18" t="s">
        <v>85</v>
      </c>
      <c r="C19" s="19" t="s">
        <v>0</v>
      </c>
      <c r="D19" s="19" t="s">
        <v>20</v>
      </c>
      <c r="E19" s="19" t="s">
        <v>21</v>
      </c>
      <c r="F19" s="19" t="s">
        <v>66</v>
      </c>
      <c r="G19" s="322" t="s">
        <v>173</v>
      </c>
      <c r="H19" s="19" t="s">
        <v>114</v>
      </c>
      <c r="I19" s="9" t="s">
        <v>147</v>
      </c>
      <c r="J19" s="6" t="s">
        <v>91</v>
      </c>
    </row>
    <row r="20" spans="2:10" ht="19.5" customHeight="1">
      <c r="B20" s="63">
        <v>1</v>
      </c>
      <c r="C20" s="64" t="s">
        <v>113</v>
      </c>
      <c r="D20" s="64">
        <f aca="true" t="shared" si="2" ref="D20:G22">D5-D12</f>
        <v>96450.62099999998</v>
      </c>
      <c r="E20" s="64">
        <f t="shared" si="2"/>
        <v>0</v>
      </c>
      <c r="F20" s="64">
        <f t="shared" si="2"/>
        <v>669.333</v>
      </c>
      <c r="G20" s="322">
        <f t="shared" si="2"/>
        <v>536837.012</v>
      </c>
      <c r="H20" s="64">
        <f aca="true" t="shared" si="3" ref="H20:I22">H5-H12</f>
        <v>0</v>
      </c>
      <c r="I20" s="9">
        <f t="shared" si="3"/>
        <v>633956.9659999999</v>
      </c>
      <c r="J20" s="156">
        <v>18517.679000000004</v>
      </c>
    </row>
    <row r="21" spans="2:10" ht="19.5" customHeight="1">
      <c r="B21" s="314">
        <v>2</v>
      </c>
      <c r="C21" s="315" t="s">
        <v>138</v>
      </c>
      <c r="D21" s="319">
        <f t="shared" si="2"/>
        <v>0</v>
      </c>
      <c r="E21" s="319">
        <f t="shared" si="2"/>
        <v>0</v>
      </c>
      <c r="F21" s="322">
        <f t="shared" si="2"/>
        <v>0</v>
      </c>
      <c r="G21" s="322">
        <f t="shared" si="2"/>
        <v>0</v>
      </c>
      <c r="H21" s="319">
        <f t="shared" si="3"/>
        <v>0</v>
      </c>
      <c r="I21" s="323">
        <f t="shared" si="3"/>
        <v>0</v>
      </c>
      <c r="J21" s="320">
        <v>0</v>
      </c>
    </row>
    <row r="22" spans="2:10" ht="19.5" customHeight="1">
      <c r="B22" s="17"/>
      <c r="C22" s="11" t="s">
        <v>10</v>
      </c>
      <c r="D22" s="11">
        <f t="shared" si="2"/>
        <v>96450.62099999998</v>
      </c>
      <c r="E22" s="11">
        <f t="shared" si="2"/>
        <v>0</v>
      </c>
      <c r="F22" s="11">
        <f t="shared" si="2"/>
        <v>669.333</v>
      </c>
      <c r="G22" s="11">
        <f t="shared" si="2"/>
        <v>536837.012</v>
      </c>
      <c r="H22" s="11">
        <f t="shared" si="3"/>
        <v>0</v>
      </c>
      <c r="I22" s="11">
        <f t="shared" si="3"/>
        <v>633956.9659999999</v>
      </c>
      <c r="J22" s="11">
        <v>18517.679000000004</v>
      </c>
    </row>
    <row r="23" ht="19.5" customHeight="1"/>
    <row r="24" ht="19.5" customHeight="1">
      <c r="D24" s="4" t="s">
        <v>143</v>
      </c>
    </row>
    <row r="25" ht="19.5" customHeight="1"/>
    <row r="26" spans="2:63" ht="19.5" customHeight="1">
      <c r="B26" s="64" t="s">
        <v>85</v>
      </c>
      <c r="C26" s="19" t="s">
        <v>0</v>
      </c>
      <c r="D26" s="19" t="s">
        <v>20</v>
      </c>
      <c r="E26" s="19" t="s">
        <v>21</v>
      </c>
      <c r="F26" s="19" t="s">
        <v>66</v>
      </c>
      <c r="G26" s="322" t="s">
        <v>173</v>
      </c>
      <c r="H26" s="19" t="s">
        <v>114</v>
      </c>
      <c r="I26" s="9" t="s">
        <v>147</v>
      </c>
      <c r="J26" s="6" t="s">
        <v>91</v>
      </c>
      <c r="L26" s="23"/>
      <c r="N26"/>
      <c r="BK26" s="23"/>
    </row>
    <row r="27" spans="2:63" ht="19.5" customHeight="1">
      <c r="B27" s="63">
        <v>1</v>
      </c>
      <c r="C27" s="64" t="s">
        <v>113</v>
      </c>
      <c r="D27" s="25">
        <f aca="true" t="shared" si="4" ref="D27:G29">_xlfn.IFERROR(((D12/D5))*100," ")</f>
        <v>30.56348452983834</v>
      </c>
      <c r="E27" s="25" t="str">
        <f t="shared" si="4"/>
        <v> </v>
      </c>
      <c r="F27" s="25">
        <f t="shared" si="4"/>
        <v>22.950749849201344</v>
      </c>
      <c r="G27" s="325">
        <f t="shared" si="4"/>
        <v>0</v>
      </c>
      <c r="H27" s="25" t="str">
        <f aca="true" t="shared" si="5" ref="H27:I29">_xlfn.IFERROR(((H12/H5))*100," ")</f>
        <v> </v>
      </c>
      <c r="I27" s="69">
        <f t="shared" si="5"/>
        <v>6.303997593746975</v>
      </c>
      <c r="J27" s="69">
        <v>23.84468455019241</v>
      </c>
      <c r="L27" s="23"/>
      <c r="N27"/>
      <c r="BK27" s="23"/>
    </row>
    <row r="28" spans="2:63" ht="19.5" customHeight="1">
      <c r="B28" s="314">
        <v>2</v>
      </c>
      <c r="C28" s="315" t="s">
        <v>138</v>
      </c>
      <c r="D28" s="324" t="str">
        <f t="shared" si="4"/>
        <v> </v>
      </c>
      <c r="E28" s="324" t="str">
        <f t="shared" si="4"/>
        <v> </v>
      </c>
      <c r="F28" s="325" t="str">
        <f t="shared" si="4"/>
        <v> </v>
      </c>
      <c r="G28" s="325" t="str">
        <f t="shared" si="4"/>
        <v> </v>
      </c>
      <c r="H28" s="326" t="str">
        <f t="shared" si="5"/>
        <v> </v>
      </c>
      <c r="I28" s="327" t="str">
        <f t="shared" si="5"/>
        <v> </v>
      </c>
      <c r="J28" s="328">
        <v>0</v>
      </c>
      <c r="L28" s="23"/>
      <c r="N28"/>
      <c r="BK28" s="23"/>
    </row>
    <row r="29" spans="2:63" ht="19.5" customHeight="1">
      <c r="B29" s="17"/>
      <c r="C29" s="11" t="s">
        <v>10</v>
      </c>
      <c r="D29" s="69">
        <f t="shared" si="4"/>
        <v>30.56348452983834</v>
      </c>
      <c r="E29" s="69" t="str">
        <f t="shared" si="4"/>
        <v> </v>
      </c>
      <c r="F29" s="69">
        <f t="shared" si="4"/>
        <v>22.950749849201344</v>
      </c>
      <c r="G29" s="69">
        <f t="shared" si="4"/>
        <v>0</v>
      </c>
      <c r="H29" s="69" t="str">
        <f t="shared" si="5"/>
        <v> </v>
      </c>
      <c r="I29" s="69">
        <f t="shared" si="5"/>
        <v>6.303997593746975</v>
      </c>
      <c r="J29" s="69">
        <v>23.84468455019241</v>
      </c>
      <c r="L29" s="23"/>
      <c r="N29"/>
      <c r="BK29" s="23"/>
    </row>
    <row r="30" ht="19.5" customHeight="1"/>
    <row r="31" ht="19.5" customHeight="1">
      <c r="D31" s="4" t="s">
        <v>142</v>
      </c>
    </row>
    <row r="32" ht="19.5" customHeight="1" thickBot="1"/>
    <row r="33" spans="2:63" ht="19.5" customHeight="1" thickBot="1">
      <c r="B33" s="163" t="s">
        <v>85</v>
      </c>
      <c r="C33" s="164" t="s">
        <v>0</v>
      </c>
      <c r="D33" s="164" t="s">
        <v>20</v>
      </c>
      <c r="E33" s="164" t="s">
        <v>21</v>
      </c>
      <c r="F33" s="164" t="s">
        <v>66</v>
      </c>
      <c r="G33" s="322" t="s">
        <v>173</v>
      </c>
      <c r="H33" s="19" t="s">
        <v>114</v>
      </c>
      <c r="I33" s="9" t="s">
        <v>147</v>
      </c>
      <c r="J33" s="6" t="s">
        <v>91</v>
      </c>
      <c r="L33" s="23"/>
      <c r="N33"/>
      <c r="BK33" s="23"/>
    </row>
    <row r="34" spans="2:63" ht="19.5" customHeight="1">
      <c r="B34" s="147">
        <v>1</v>
      </c>
      <c r="C34" s="64" t="s">
        <v>113</v>
      </c>
      <c r="D34" s="149">
        <f aca="true" t="shared" si="6" ref="D34:G36">_xlfn.IFERROR(((D20/D5))*100," ")</f>
        <v>69.43651547016165</v>
      </c>
      <c r="E34" s="149" t="str">
        <f t="shared" si="6"/>
        <v> </v>
      </c>
      <c r="F34" s="149">
        <f t="shared" si="6"/>
        <v>77.04925015079866</v>
      </c>
      <c r="G34" s="149">
        <f t="shared" si="6"/>
        <v>100</v>
      </c>
      <c r="H34" s="149" t="str">
        <f aca="true" t="shared" si="7" ref="H34:I36">_xlfn.IFERROR(((H20/H5))*100," ")</f>
        <v> </v>
      </c>
      <c r="I34" s="143">
        <f t="shared" si="7"/>
        <v>93.69600240625302</v>
      </c>
      <c r="J34" s="150">
        <v>76.15531544980759</v>
      </c>
      <c r="L34" s="23"/>
      <c r="N34"/>
      <c r="BK34" s="23"/>
    </row>
    <row r="35" spans="2:63" ht="19.5" customHeight="1" thickBot="1">
      <c r="B35" s="314">
        <v>2</v>
      </c>
      <c r="C35" s="315" t="s">
        <v>138</v>
      </c>
      <c r="D35" s="329" t="str">
        <f t="shared" si="6"/>
        <v> </v>
      </c>
      <c r="E35" s="329" t="str">
        <f t="shared" si="6"/>
        <v> </v>
      </c>
      <c r="F35" s="330" t="str">
        <f t="shared" si="6"/>
        <v> </v>
      </c>
      <c r="G35" s="330" t="str">
        <f t="shared" si="6"/>
        <v> </v>
      </c>
      <c r="H35" s="329" t="str">
        <f t="shared" si="7"/>
        <v> </v>
      </c>
      <c r="I35" s="331" t="str">
        <f t="shared" si="7"/>
        <v> </v>
      </c>
      <c r="J35" s="327">
        <v>0</v>
      </c>
      <c r="L35" s="23"/>
      <c r="N35"/>
      <c r="BK35" s="23"/>
    </row>
    <row r="36" spans="2:63" ht="19.5" customHeight="1">
      <c r="B36" s="141"/>
      <c r="C36" s="142" t="s">
        <v>10</v>
      </c>
      <c r="D36" s="145">
        <f t="shared" si="6"/>
        <v>69.43651547016165</v>
      </c>
      <c r="E36" s="145" t="str">
        <f t="shared" si="6"/>
        <v> </v>
      </c>
      <c r="F36" s="145">
        <f t="shared" si="6"/>
        <v>77.04925015079866</v>
      </c>
      <c r="G36" s="145">
        <f t="shared" si="6"/>
        <v>100</v>
      </c>
      <c r="H36" s="145" t="str">
        <f t="shared" si="7"/>
        <v> </v>
      </c>
      <c r="I36" s="145">
        <f t="shared" si="7"/>
        <v>93.69600240625302</v>
      </c>
      <c r="J36" s="146">
        <v>76.15531544980759</v>
      </c>
      <c r="L36" s="23"/>
      <c r="N36"/>
      <c r="BK36" s="23"/>
    </row>
    <row r="37" ht="19.5" customHeight="1"/>
    <row r="38" ht="19.5" customHeight="1">
      <c r="D38" s="4" t="s">
        <v>141</v>
      </c>
    </row>
    <row r="39" ht="19.5" customHeight="1">
      <c r="F39" s="8" t="s">
        <v>35</v>
      </c>
    </row>
    <row r="40" spans="2:10" ht="19.5" customHeight="1">
      <c r="B40" s="64" t="s">
        <v>85</v>
      </c>
      <c r="C40" s="19" t="s">
        <v>0</v>
      </c>
      <c r="D40" s="19" t="s">
        <v>20</v>
      </c>
      <c r="E40" s="19" t="s">
        <v>21</v>
      </c>
      <c r="F40" s="19" t="s">
        <v>66</v>
      </c>
      <c r="G40" s="322" t="s">
        <v>173</v>
      </c>
      <c r="H40" s="19" t="s">
        <v>114</v>
      </c>
      <c r="I40" s="9" t="s">
        <v>147</v>
      </c>
      <c r="J40" s="6" t="s">
        <v>91</v>
      </c>
    </row>
    <row r="41" spans="2:10" ht="19.5" customHeight="1">
      <c r="B41" s="63">
        <v>1</v>
      </c>
      <c r="C41" s="64" t="s">
        <v>113</v>
      </c>
      <c r="D41" s="7">
        <v>32100</v>
      </c>
      <c r="E41" s="64">
        <v>0</v>
      </c>
      <c r="F41" s="10">
        <v>0</v>
      </c>
      <c r="G41" s="320">
        <v>0</v>
      </c>
      <c r="H41" s="7">
        <v>0</v>
      </c>
      <c r="I41" s="9">
        <f>SUM(D41:H41)</f>
        <v>32100</v>
      </c>
      <c r="J41" s="156">
        <v>0</v>
      </c>
    </row>
    <row r="42" spans="2:10" ht="19.5" customHeight="1">
      <c r="B42" s="314">
        <v>2</v>
      </c>
      <c r="C42" s="315" t="s">
        <v>138</v>
      </c>
      <c r="D42" s="319"/>
      <c r="E42" s="319"/>
      <c r="F42" s="320"/>
      <c r="G42" s="320"/>
      <c r="H42" s="319"/>
      <c r="I42" s="9">
        <f>SUM(D42:H42)</f>
        <v>0</v>
      </c>
      <c r="J42" s="332">
        <v>0</v>
      </c>
    </row>
    <row r="43" spans="2:10" s="23" customFormat="1" ht="19.5" customHeight="1">
      <c r="B43" s="17"/>
      <c r="C43" s="11" t="s">
        <v>10</v>
      </c>
      <c r="D43" s="11">
        <f aca="true" t="shared" si="8" ref="D43:J43">SUM(D41:D42)</f>
        <v>32100</v>
      </c>
      <c r="E43" s="11">
        <f t="shared" si="8"/>
        <v>0</v>
      </c>
      <c r="F43" s="11">
        <f t="shared" si="8"/>
        <v>0</v>
      </c>
      <c r="G43" s="11">
        <f t="shared" si="8"/>
        <v>0</v>
      </c>
      <c r="H43" s="11">
        <f t="shared" si="8"/>
        <v>0</v>
      </c>
      <c r="I43" s="11">
        <f t="shared" si="8"/>
        <v>32100</v>
      </c>
      <c r="J43" s="11">
        <f t="shared" si="8"/>
        <v>0</v>
      </c>
    </row>
    <row r="44" ht="19.5" customHeight="1"/>
    <row r="45" ht="19.5" customHeight="1">
      <c r="D45" s="4" t="s">
        <v>140</v>
      </c>
    </row>
    <row r="46" ht="19.5" customHeight="1">
      <c r="F46" s="8" t="s">
        <v>35</v>
      </c>
    </row>
    <row r="47" spans="2:10" ht="19.5" customHeight="1">
      <c r="B47" s="64" t="s">
        <v>85</v>
      </c>
      <c r="C47" s="19" t="s">
        <v>0</v>
      </c>
      <c r="D47" s="19" t="s">
        <v>20</v>
      </c>
      <c r="E47" s="19" t="s">
        <v>21</v>
      </c>
      <c r="F47" s="19" t="s">
        <v>66</v>
      </c>
      <c r="G47" s="322" t="s">
        <v>173</v>
      </c>
      <c r="H47" s="19" t="s">
        <v>114</v>
      </c>
      <c r="I47" s="9" t="s">
        <v>147</v>
      </c>
      <c r="J47" s="6" t="s">
        <v>91</v>
      </c>
    </row>
    <row r="48" spans="2:10" ht="19.5" customHeight="1">
      <c r="B48" s="63">
        <v>1</v>
      </c>
      <c r="C48" s="64" t="s">
        <v>113</v>
      </c>
      <c r="D48" s="64">
        <f>D20</f>
        <v>96450.62099999998</v>
      </c>
      <c r="E48" s="322">
        <f>E20</f>
        <v>0</v>
      </c>
      <c r="F48" s="322">
        <f>F20</f>
        <v>669.333</v>
      </c>
      <c r="G48" s="322">
        <f>G20</f>
        <v>536837.012</v>
      </c>
      <c r="H48" s="322">
        <f>H20</f>
        <v>0</v>
      </c>
      <c r="I48" s="9">
        <f>SUM(D48:H48)</f>
        <v>633956.966</v>
      </c>
      <c r="J48" s="156">
        <v>6270.731</v>
      </c>
    </row>
    <row r="49" spans="2:10" ht="19.5" customHeight="1">
      <c r="B49" s="314">
        <v>2</v>
      </c>
      <c r="C49" s="315" t="s">
        <v>138</v>
      </c>
      <c r="D49" s="64">
        <f>D21</f>
        <v>0</v>
      </c>
      <c r="E49" s="64">
        <v>0</v>
      </c>
      <c r="F49" s="322"/>
      <c r="G49" s="322"/>
      <c r="H49" s="315"/>
      <c r="I49" s="9">
        <f>SUM(D49:H49)</f>
        <v>0</v>
      </c>
      <c r="J49" s="332"/>
    </row>
    <row r="50" spans="2:10" ht="19.5" customHeight="1">
      <c r="B50" s="17"/>
      <c r="C50" s="11" t="s">
        <v>10</v>
      </c>
      <c r="D50" s="11">
        <f aca="true" t="shared" si="9" ref="D50:I50">SUM(D48:D49)</f>
        <v>96450.62099999998</v>
      </c>
      <c r="E50" s="11">
        <f t="shared" si="9"/>
        <v>0</v>
      </c>
      <c r="F50" s="11">
        <f t="shared" si="9"/>
        <v>669.333</v>
      </c>
      <c r="G50" s="11">
        <f t="shared" si="9"/>
        <v>536837.012</v>
      </c>
      <c r="H50" s="11">
        <f t="shared" si="9"/>
        <v>0</v>
      </c>
      <c r="I50" s="11">
        <f t="shared" si="9"/>
        <v>633956.966</v>
      </c>
      <c r="J50" s="11">
        <v>6270.731</v>
      </c>
    </row>
    <row r="51" ht="19.5" customHeight="1"/>
    <row r="52" ht="19.5" customHeight="1">
      <c r="D52" s="4" t="s">
        <v>139</v>
      </c>
    </row>
    <row r="53" ht="19.5" customHeight="1"/>
    <row r="54" spans="2:63" ht="19.5" customHeight="1">
      <c r="B54" s="64" t="s">
        <v>85</v>
      </c>
      <c r="C54" s="64" t="s">
        <v>0</v>
      </c>
      <c r="D54" s="64" t="s">
        <v>20</v>
      </c>
      <c r="E54" s="64" t="s">
        <v>21</v>
      </c>
      <c r="F54" s="64" t="s">
        <v>66</v>
      </c>
      <c r="G54" s="322" t="s">
        <v>173</v>
      </c>
      <c r="H54" s="19" t="s">
        <v>114</v>
      </c>
      <c r="I54" s="9" t="s">
        <v>147</v>
      </c>
      <c r="J54" s="6" t="s">
        <v>91</v>
      </c>
      <c r="L54" s="23"/>
      <c r="N54"/>
      <c r="BK54" s="23"/>
    </row>
    <row r="55" spans="2:63" ht="19.5" customHeight="1">
      <c r="B55" s="63">
        <v>1</v>
      </c>
      <c r="C55" s="64" t="s">
        <v>113</v>
      </c>
      <c r="D55" s="324">
        <f>_xlfn.IFERROR(((D41/D48))*100," ")</f>
        <v>33.2812787177389</v>
      </c>
      <c r="E55" s="324" t="str">
        <f aca="true" t="shared" si="10" ref="E55:J55">_xlfn.IFERROR(((E41/E48))*100," ")</f>
        <v> </v>
      </c>
      <c r="F55" s="324">
        <f t="shared" si="10"/>
        <v>0</v>
      </c>
      <c r="G55" s="324">
        <f t="shared" si="10"/>
        <v>0</v>
      </c>
      <c r="H55" s="324" t="str">
        <f t="shared" si="10"/>
        <v> </v>
      </c>
      <c r="I55" s="324">
        <f t="shared" si="10"/>
        <v>5.063435173295343</v>
      </c>
      <c r="J55" s="324">
        <f t="shared" si="10"/>
        <v>0</v>
      </c>
      <c r="L55" s="23"/>
      <c r="N55"/>
      <c r="BK55" s="23"/>
    </row>
    <row r="56" spans="2:63" ht="19.5" customHeight="1">
      <c r="B56" s="314">
        <v>2</v>
      </c>
      <c r="C56" s="315" t="s">
        <v>138</v>
      </c>
      <c r="D56" s="324" t="str">
        <f aca="true" t="shared" si="11" ref="D56:J57">_xlfn.IFERROR(((D42/D49))*100," ")</f>
        <v> </v>
      </c>
      <c r="E56" s="324" t="str">
        <f t="shared" si="11"/>
        <v> </v>
      </c>
      <c r="F56" s="324" t="str">
        <f t="shared" si="11"/>
        <v> </v>
      </c>
      <c r="G56" s="324" t="str">
        <f t="shared" si="11"/>
        <v> </v>
      </c>
      <c r="H56" s="324" t="str">
        <f t="shared" si="11"/>
        <v> </v>
      </c>
      <c r="I56" s="324" t="str">
        <f t="shared" si="11"/>
        <v> </v>
      </c>
      <c r="J56" s="324" t="str">
        <f t="shared" si="11"/>
        <v> </v>
      </c>
      <c r="L56" s="23"/>
      <c r="N56"/>
      <c r="BK56" s="23"/>
    </row>
    <row r="57" spans="2:63" ht="19.5" customHeight="1">
      <c r="B57" s="17"/>
      <c r="C57" s="11" t="s">
        <v>10</v>
      </c>
      <c r="D57" s="69">
        <f t="shared" si="11"/>
        <v>33.2812787177389</v>
      </c>
      <c r="E57" s="69" t="str">
        <f t="shared" si="11"/>
        <v> </v>
      </c>
      <c r="F57" s="69">
        <f t="shared" si="11"/>
        <v>0</v>
      </c>
      <c r="G57" s="69">
        <f t="shared" si="11"/>
        <v>0</v>
      </c>
      <c r="H57" s="69" t="str">
        <f t="shared" si="11"/>
        <v> </v>
      </c>
      <c r="I57" s="69">
        <f t="shared" si="11"/>
        <v>5.063435173295343</v>
      </c>
      <c r="J57" s="69">
        <f t="shared" si="11"/>
        <v>0</v>
      </c>
      <c r="L57" s="23"/>
      <c r="N57"/>
      <c r="BK57" s="23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spans="3:13" ht="19.5" customHeight="1">
      <c r="C103" s="4">
        <f>78+552</f>
        <v>630</v>
      </c>
      <c r="D103" s="4">
        <f>12+123</f>
        <v>135</v>
      </c>
      <c r="E103" s="4">
        <f>24+221</f>
        <v>245</v>
      </c>
      <c r="F103" s="4">
        <f>24+109</f>
        <v>133</v>
      </c>
      <c r="G103" s="8">
        <f>19+112</f>
        <v>131</v>
      </c>
      <c r="H103" s="4">
        <f>381+33</f>
        <v>414</v>
      </c>
      <c r="I103" s="14">
        <v>414</v>
      </c>
      <c r="J103" s="23">
        <f>64+35</f>
        <v>99</v>
      </c>
      <c r="K103" s="23">
        <f>142+81</f>
        <v>223</v>
      </c>
      <c r="M103">
        <f>111+337</f>
        <v>448</v>
      </c>
    </row>
  </sheetData>
  <sheetProtection/>
  <printOptions/>
  <pageMargins left="0.7" right="0.7" top="0.75" bottom="0.75" header="0.3" footer="0.3"/>
  <pageSetup orientation="portrait" paperSize="9"/>
  <tableParts>
    <tablePart r:id="rId8"/>
    <tablePart r:id="rId6"/>
    <tablePart r:id="rId2"/>
    <tablePart r:id="rId4"/>
    <tablePart r:id="rId5"/>
    <tablePart r:id="rId3"/>
    <tablePart r:id="rId1"/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1:V270"/>
  <sheetViews>
    <sheetView showGridLines="0" zoomScale="112" zoomScaleNormal="112" zoomScalePageLayoutView="0" workbookViewId="0" topLeftCell="A6">
      <selection activeCell="G6" sqref="G6"/>
    </sheetView>
  </sheetViews>
  <sheetFormatPr defaultColWidth="9.140625" defaultRowHeight="15.75" customHeight="1"/>
  <cols>
    <col min="1" max="1" width="1.421875" style="0" customWidth="1"/>
    <col min="2" max="2" width="4.8515625" style="57" customWidth="1"/>
    <col min="3" max="3" width="21.57421875" style="302" bestFit="1" customWidth="1"/>
    <col min="4" max="4" width="11.140625" style="33" customWidth="1"/>
    <col min="5" max="5" width="13.7109375" style="54" customWidth="1"/>
    <col min="6" max="7" width="9.140625" style="54" bestFit="1" customWidth="1"/>
    <col min="8" max="8" width="13.00390625" style="54" customWidth="1"/>
    <col min="9" max="9" width="10.28125" style="54" bestFit="1" customWidth="1"/>
    <col min="10" max="10" width="13.140625" style="54" bestFit="1" customWidth="1"/>
    <col min="11" max="11" width="9.140625" style="1" customWidth="1"/>
    <col min="12" max="12" width="12.8515625" style="1" bestFit="1" customWidth="1"/>
    <col min="13" max="13" width="12.57421875" style="1" bestFit="1" customWidth="1"/>
    <col min="16" max="16" width="26.7109375" style="0" customWidth="1"/>
    <col min="17" max="17" width="15.28125" style="0" customWidth="1"/>
    <col min="18" max="18" width="13.7109375" style="0" customWidth="1"/>
    <col min="19" max="19" width="12.421875" style="0" customWidth="1"/>
    <col min="20" max="20" width="13.7109375" style="0" customWidth="1"/>
    <col min="21" max="21" width="15.8515625" style="0" customWidth="1"/>
    <col min="22" max="22" width="14.8515625" style="0" bestFit="1" customWidth="1"/>
  </cols>
  <sheetData>
    <row r="1" spans="2:13" s="21" customFormat="1" ht="15.75" customHeight="1">
      <c r="B1" s="73"/>
      <c r="C1" s="302"/>
      <c r="D1" s="33"/>
      <c r="E1" s="33"/>
      <c r="F1" s="33"/>
      <c r="G1" s="33"/>
      <c r="H1" s="33"/>
      <c r="I1" s="33"/>
      <c r="J1" s="33"/>
      <c r="K1" s="20"/>
      <c r="L1" s="20"/>
      <c r="M1" s="20"/>
    </row>
    <row r="2" spans="2:12" s="21" customFormat="1" ht="15.75" customHeight="1">
      <c r="B2" s="73"/>
      <c r="C2" s="302" t="s">
        <v>171</v>
      </c>
      <c r="D2" s="33"/>
      <c r="E2" s="33"/>
      <c r="F2" s="33"/>
      <c r="G2" s="33"/>
      <c r="H2" s="33"/>
      <c r="I2" s="33"/>
      <c r="J2" s="33"/>
      <c r="K2" s="20"/>
      <c r="L2" s="20"/>
    </row>
    <row r="3" spans="2:13" s="21" customFormat="1" ht="8.25" customHeight="1">
      <c r="B3" s="73"/>
      <c r="C3" s="302"/>
      <c r="D3" s="33"/>
      <c r="E3" s="33"/>
      <c r="F3" s="33"/>
      <c r="G3" s="33"/>
      <c r="H3" s="33"/>
      <c r="I3" s="33"/>
      <c r="J3" s="33"/>
      <c r="K3" s="20"/>
      <c r="L3" s="20"/>
      <c r="M3" s="20"/>
    </row>
    <row r="4" spans="2:13" s="77" customFormat="1" ht="13.5" hidden="1">
      <c r="B4" s="72" t="s">
        <v>38</v>
      </c>
      <c r="C4" s="303" t="s">
        <v>39</v>
      </c>
      <c r="D4" s="71" t="s">
        <v>40</v>
      </c>
      <c r="E4" s="74" t="s">
        <v>42</v>
      </c>
      <c r="F4" s="74" t="s">
        <v>41</v>
      </c>
      <c r="G4" s="74" t="s">
        <v>43</v>
      </c>
      <c r="H4" s="74" t="s">
        <v>44</v>
      </c>
      <c r="I4" s="74" t="s">
        <v>80</v>
      </c>
      <c r="J4" s="75" t="s">
        <v>81</v>
      </c>
      <c r="K4" s="76"/>
      <c r="L4" s="76"/>
      <c r="M4" s="76"/>
    </row>
    <row r="5" spans="2:17" s="84" customFormat="1" ht="25.5" customHeight="1">
      <c r="B5" s="78"/>
      <c r="C5" s="304" t="s">
        <v>0</v>
      </c>
      <c r="D5" s="79" t="s">
        <v>23</v>
      </c>
      <c r="E5" s="80" t="s">
        <v>76</v>
      </c>
      <c r="F5" s="81" t="s">
        <v>10</v>
      </c>
      <c r="G5" s="80" t="s">
        <v>77</v>
      </c>
      <c r="H5" s="82" t="s">
        <v>30</v>
      </c>
      <c r="I5" s="80" t="s">
        <v>78</v>
      </c>
      <c r="J5" s="80" t="s">
        <v>79</v>
      </c>
      <c r="K5" s="83"/>
      <c r="L5" s="83"/>
      <c r="M5" s="83"/>
      <c r="Q5" s="84" t="s">
        <v>61</v>
      </c>
    </row>
    <row r="6" spans="2:13" s="90" customFormat="1" ht="15.75" customHeight="1">
      <c r="B6" s="85">
        <v>1</v>
      </c>
      <c r="C6" s="56" t="s">
        <v>1</v>
      </c>
      <c r="D6" s="120">
        <v>15567881</v>
      </c>
      <c r="E6" s="86">
        <v>16122161</v>
      </c>
      <c r="F6" s="86">
        <f>D6+E6</f>
        <v>31690042</v>
      </c>
      <c r="G6" s="86">
        <v>155400097</v>
      </c>
      <c r="H6" s="87">
        <f>((F6/G6))*100</f>
        <v>20.392549690622136</v>
      </c>
      <c r="I6" s="88">
        <f>((E6/G6))*100</f>
        <v>10.374614502332003</v>
      </c>
      <c r="J6" s="87">
        <f>((D6/G6))*100</f>
        <v>10.017935188290133</v>
      </c>
      <c r="K6" s="89"/>
      <c r="L6" s="89"/>
      <c r="M6" s="89"/>
    </row>
    <row r="7" spans="2:21" s="90" customFormat="1" ht="15.75" customHeight="1">
      <c r="B7" s="91">
        <v>2</v>
      </c>
      <c r="C7" s="31" t="s">
        <v>56</v>
      </c>
      <c r="D7" s="120">
        <v>118070</v>
      </c>
      <c r="E7" s="86">
        <v>3616811</v>
      </c>
      <c r="F7" s="86">
        <f aca="true" t="shared" si="0" ref="F7:F23">D7+E7</f>
        <v>3734881</v>
      </c>
      <c r="G7" s="86">
        <v>477764</v>
      </c>
      <c r="H7" s="87">
        <f aca="true" t="shared" si="1" ref="H7:H26">((F7/G7))*100</f>
        <v>781.7418223223182</v>
      </c>
      <c r="I7" s="88">
        <f aca="true" t="shared" si="2" ref="I7:I26">((E7/G7))*100</f>
        <v>757.0287840858666</v>
      </c>
      <c r="J7" s="87">
        <f aca="true" t="shared" si="3" ref="J7:J25">((D7/G7))*100</f>
        <v>24.71303823645147</v>
      </c>
      <c r="K7" s="89"/>
      <c r="L7" s="89"/>
      <c r="M7" s="89"/>
      <c r="P7" s="92" t="s">
        <v>38</v>
      </c>
      <c r="Q7" s="93" t="s">
        <v>45</v>
      </c>
      <c r="R7" s="93" t="s">
        <v>46</v>
      </c>
      <c r="S7" s="93" t="s">
        <v>47</v>
      </c>
      <c r="T7" s="93" t="s">
        <v>54</v>
      </c>
      <c r="U7" s="93" t="s">
        <v>57</v>
      </c>
    </row>
    <row r="8" spans="2:21" s="90" customFormat="1" ht="15.75" customHeight="1">
      <c r="B8" s="91">
        <v>3</v>
      </c>
      <c r="C8" s="31" t="s">
        <v>2</v>
      </c>
      <c r="D8" s="120">
        <f>8833900+4602702</f>
        <v>13436602</v>
      </c>
      <c r="E8" s="86">
        <f>17033556+7555717</f>
        <v>24589273</v>
      </c>
      <c r="F8" s="86">
        <f t="shared" si="0"/>
        <v>38025875</v>
      </c>
      <c r="G8" s="86">
        <v>111102767</v>
      </c>
      <c r="H8" s="87">
        <f t="shared" si="1"/>
        <v>34.22585775924015</v>
      </c>
      <c r="I8" s="88">
        <f t="shared" si="2"/>
        <v>22.132007747385806</v>
      </c>
      <c r="J8" s="87">
        <f t="shared" si="3"/>
        <v>12.09385001185434</v>
      </c>
      <c r="K8" s="89"/>
      <c r="L8" s="89"/>
      <c r="M8" s="89"/>
      <c r="P8" s="92" t="s">
        <v>62</v>
      </c>
      <c r="Q8" s="94">
        <v>18915028</v>
      </c>
      <c r="R8" s="94">
        <v>23101152</v>
      </c>
      <c r="S8" s="94">
        <v>25416929</v>
      </c>
      <c r="T8" s="94">
        <v>32350707</v>
      </c>
      <c r="U8" s="95">
        <f>D27</f>
        <v>81979751.1250623</v>
      </c>
    </row>
    <row r="9" spans="2:21" s="90" customFormat="1" ht="15.75" customHeight="1">
      <c r="B9" s="91">
        <v>4</v>
      </c>
      <c r="C9" s="31" t="s">
        <v>83</v>
      </c>
      <c r="D9" s="120">
        <v>2347967</v>
      </c>
      <c r="E9" s="86">
        <v>7425252</v>
      </c>
      <c r="F9" s="86">
        <f t="shared" si="0"/>
        <v>9773219</v>
      </c>
      <c r="G9" s="86">
        <v>17506005</v>
      </c>
      <c r="H9" s="87">
        <f t="shared" si="1"/>
        <v>55.827808800465895</v>
      </c>
      <c r="I9" s="88">
        <f t="shared" si="2"/>
        <v>42.41545686751489</v>
      </c>
      <c r="J9" s="87">
        <f t="shared" si="3"/>
        <v>13.412351932951008</v>
      </c>
      <c r="K9" s="89"/>
      <c r="L9" s="89"/>
      <c r="M9" s="89"/>
      <c r="P9" s="92" t="s">
        <v>63</v>
      </c>
      <c r="Q9" s="94">
        <v>35322614</v>
      </c>
      <c r="R9" s="94">
        <v>41242339</v>
      </c>
      <c r="S9" s="94">
        <v>50712417</v>
      </c>
      <c r="T9" s="94">
        <v>56625100</v>
      </c>
      <c r="U9" s="95">
        <f>E27</f>
        <v>154060112.1747033</v>
      </c>
    </row>
    <row r="10" spans="2:21" s="90" customFormat="1" ht="15.75" customHeight="1">
      <c r="B10" s="91">
        <v>5</v>
      </c>
      <c r="C10" s="32" t="s">
        <v>3</v>
      </c>
      <c r="D10" s="120">
        <v>3093552.721</v>
      </c>
      <c r="E10" s="86">
        <f>4973970</f>
        <v>4973970</v>
      </c>
      <c r="F10" s="86">
        <f t="shared" si="0"/>
        <v>8067522.721</v>
      </c>
      <c r="G10" s="86">
        <v>25847492.278000005</v>
      </c>
      <c r="H10" s="87">
        <f t="shared" si="1"/>
        <v>31.212013274752543</v>
      </c>
      <c r="I10" s="88">
        <f t="shared" si="2"/>
        <v>19.243530267861132</v>
      </c>
      <c r="J10" s="87">
        <f t="shared" si="3"/>
        <v>11.968483006891411</v>
      </c>
      <c r="K10" s="89"/>
      <c r="L10" s="89"/>
      <c r="M10" s="89"/>
      <c r="P10" s="92" t="s">
        <v>58</v>
      </c>
      <c r="Q10" s="94">
        <f>SUM(Q8:Q9)</f>
        <v>54237642</v>
      </c>
      <c r="R10" s="94">
        <f>SUM(R8:R9)</f>
        <v>64343491</v>
      </c>
      <c r="S10" s="94">
        <f>SUM(S8:S9)</f>
        <v>76129346</v>
      </c>
      <c r="T10" s="94">
        <f>SUM(T8:T9)</f>
        <v>88975807</v>
      </c>
      <c r="U10" s="95">
        <f>SUM(U8:U9)</f>
        <v>236039863.2997656</v>
      </c>
    </row>
    <row r="11" spans="2:21" s="90" customFormat="1" ht="15.75" customHeight="1">
      <c r="B11" s="91">
        <v>6</v>
      </c>
      <c r="C11" s="31" t="s">
        <v>111</v>
      </c>
      <c r="D11" s="120">
        <v>3444673</v>
      </c>
      <c r="E11" s="86">
        <v>6588121</v>
      </c>
      <c r="F11" s="86">
        <f t="shared" si="0"/>
        <v>10032794</v>
      </c>
      <c r="G11" s="86">
        <v>20025984</v>
      </c>
      <c r="H11" s="87">
        <f t="shared" si="1"/>
        <v>50.098881533112184</v>
      </c>
      <c r="I11" s="88">
        <f t="shared" si="2"/>
        <v>32.897864094967815</v>
      </c>
      <c r="J11" s="87">
        <f t="shared" si="3"/>
        <v>17.201017438144362</v>
      </c>
      <c r="K11" s="89"/>
      <c r="L11" s="89"/>
      <c r="M11" s="89"/>
      <c r="P11" s="92" t="s">
        <v>55</v>
      </c>
      <c r="Q11" s="94">
        <v>151463476</v>
      </c>
      <c r="R11" s="94">
        <v>181612031</v>
      </c>
      <c r="S11" s="94">
        <v>215706464</v>
      </c>
      <c r="T11" s="94">
        <v>262243989</v>
      </c>
      <c r="U11" s="95">
        <f>G27</f>
        <v>616783741.8029853</v>
      </c>
    </row>
    <row r="12" spans="2:21" s="90" customFormat="1" ht="15.75" customHeight="1">
      <c r="B12" s="91">
        <v>7</v>
      </c>
      <c r="C12" s="31" t="s">
        <v>7</v>
      </c>
      <c r="D12" s="120">
        <v>4081288</v>
      </c>
      <c r="E12" s="86">
        <v>7164351</v>
      </c>
      <c r="F12" s="86">
        <f t="shared" si="0"/>
        <v>11245639</v>
      </c>
      <c r="G12" s="86">
        <v>24044442</v>
      </c>
      <c r="H12" s="87">
        <f t="shared" si="1"/>
        <v>46.7702224073239</v>
      </c>
      <c r="I12" s="88">
        <f t="shared" si="2"/>
        <v>29.796287225130865</v>
      </c>
      <c r="J12" s="87">
        <f t="shared" si="3"/>
        <v>16.97393518219304</v>
      </c>
      <c r="K12" s="89"/>
      <c r="L12" s="89"/>
      <c r="M12" s="89">
        <f>2674585-648051</f>
        <v>2026534</v>
      </c>
      <c r="P12" s="92" t="s">
        <v>59</v>
      </c>
      <c r="Q12" s="92">
        <f>(Q8/Q11)*100</f>
        <v>12.48817767789774</v>
      </c>
      <c r="R12" s="92">
        <f>(R8/R11)*100</f>
        <v>12.720055974705774</v>
      </c>
      <c r="S12" s="92">
        <f>(S8/S11)*100</f>
        <v>11.783109568751728</v>
      </c>
      <c r="T12" s="92">
        <f>(T8/T11)*100</f>
        <v>12.33611001852172</v>
      </c>
      <c r="U12" s="92">
        <f>J27</f>
        <v>13.291490285625668</v>
      </c>
    </row>
    <row r="13" spans="2:21" s="90" customFormat="1" ht="15.75" customHeight="1">
      <c r="B13" s="91">
        <v>8</v>
      </c>
      <c r="C13" s="31" t="s">
        <v>19</v>
      </c>
      <c r="D13" s="120">
        <v>1744775.834</v>
      </c>
      <c r="E13" s="86">
        <v>10246952</v>
      </c>
      <c r="F13" s="86">
        <f t="shared" si="0"/>
        <v>11991727.834</v>
      </c>
      <c r="G13" s="86">
        <v>18199960.744</v>
      </c>
      <c r="H13" s="87">
        <f t="shared" si="1"/>
        <v>65.88875658950708</v>
      </c>
      <c r="I13" s="88">
        <f t="shared" si="2"/>
        <v>56.30205550513686</v>
      </c>
      <c r="J13" s="87">
        <f t="shared" si="3"/>
        <v>9.586701084370208</v>
      </c>
      <c r="K13" s="89"/>
      <c r="L13" s="89"/>
      <c r="M13" s="89">
        <f>3450887-7042747</f>
        <v>-3591860</v>
      </c>
      <c r="P13" s="92" t="s">
        <v>60</v>
      </c>
      <c r="Q13" s="92">
        <f>(Q9/Q11)*100</f>
        <v>23.32087902168573</v>
      </c>
      <c r="R13" s="92">
        <f>(R9/R11)*100</f>
        <v>22.7090346233725</v>
      </c>
      <c r="S13" s="92">
        <f>(S9/S11)*100</f>
        <v>23.509919943799183</v>
      </c>
      <c r="T13" s="92">
        <f>(T9/T11)*100</f>
        <v>21.592525424863027</v>
      </c>
      <c r="U13" s="92">
        <f>I27</f>
        <v>24.977978784647277</v>
      </c>
    </row>
    <row r="14" spans="2:21" s="90" customFormat="1" ht="15.75" customHeight="1">
      <c r="B14" s="91">
        <v>9</v>
      </c>
      <c r="C14" s="31" t="s">
        <v>8</v>
      </c>
      <c r="D14" s="120">
        <v>620675</v>
      </c>
      <c r="E14" s="86">
        <v>3326446</v>
      </c>
      <c r="F14" s="31">
        <f t="shared" si="0"/>
        <v>3947121</v>
      </c>
      <c r="G14" s="86">
        <v>6294581</v>
      </c>
      <c r="H14" s="87">
        <f t="shared" si="1"/>
        <v>62.70665195983657</v>
      </c>
      <c r="I14" s="88">
        <f t="shared" si="2"/>
        <v>52.846186267203485</v>
      </c>
      <c r="J14" s="87">
        <f t="shared" si="3"/>
        <v>9.860465692633076</v>
      </c>
      <c r="K14" s="89"/>
      <c r="L14" s="89"/>
      <c r="M14" s="89">
        <v>53532807</v>
      </c>
      <c r="P14" s="92" t="s">
        <v>64</v>
      </c>
      <c r="Q14" s="92">
        <f>Q12+Q13</f>
        <v>35.80905669958347</v>
      </c>
      <c r="R14" s="92">
        <f>R12+R13</f>
        <v>35.429090598078275</v>
      </c>
      <c r="S14" s="92">
        <f>S12+S13</f>
        <v>35.29302951255091</v>
      </c>
      <c r="T14" s="92">
        <f>T12+T13</f>
        <v>33.92863544338475</v>
      </c>
      <c r="U14" s="92">
        <f>U12+U13</f>
        <v>38.26946907027295</v>
      </c>
    </row>
    <row r="15" spans="2:13" s="23" customFormat="1" ht="15.75" customHeight="1">
      <c r="B15" s="91">
        <v>10</v>
      </c>
      <c r="C15" s="31" t="s">
        <v>5</v>
      </c>
      <c r="D15" s="120">
        <v>3213500</v>
      </c>
      <c r="E15" s="86">
        <v>7744475</v>
      </c>
      <c r="F15" s="86">
        <f t="shared" si="0"/>
        <v>10957975</v>
      </c>
      <c r="G15" s="86">
        <v>14944618</v>
      </c>
      <c r="H15" s="87">
        <f t="shared" si="1"/>
        <v>73.32388823856188</v>
      </c>
      <c r="I15" s="88">
        <f t="shared" si="2"/>
        <v>51.821163980236896</v>
      </c>
      <c r="J15" s="87">
        <f t="shared" si="3"/>
        <v>21.50272425832497</v>
      </c>
      <c r="K15" s="22"/>
      <c r="L15" s="22"/>
      <c r="M15" s="89">
        <v>27142643</v>
      </c>
    </row>
    <row r="16" spans="2:13" s="90" customFormat="1" ht="15.75" customHeight="1">
      <c r="B16" s="91">
        <v>11</v>
      </c>
      <c r="C16" s="31" t="s">
        <v>4</v>
      </c>
      <c r="D16" s="120">
        <v>1124282.8240623001</v>
      </c>
      <c r="E16" s="86">
        <v>4278498.7657033</v>
      </c>
      <c r="F16" s="86">
        <f t="shared" si="0"/>
        <v>5402781.5897656</v>
      </c>
      <c r="G16" s="86">
        <v>9159092.3229853</v>
      </c>
      <c r="H16" s="87">
        <f t="shared" si="1"/>
        <v>58.98817698569311</v>
      </c>
      <c r="I16" s="88">
        <f t="shared" si="2"/>
        <v>46.71313067743783</v>
      </c>
      <c r="J16" s="87">
        <f t="shared" si="3"/>
        <v>12.275046308255282</v>
      </c>
      <c r="K16" s="89"/>
      <c r="L16" s="89"/>
      <c r="M16" s="89">
        <v>-10822050</v>
      </c>
    </row>
    <row r="17" spans="2:13" s="90" customFormat="1" ht="15.75" customHeight="1">
      <c r="B17" s="91">
        <v>12</v>
      </c>
      <c r="C17" s="31" t="s">
        <v>6</v>
      </c>
      <c r="D17" s="120">
        <v>637347</v>
      </c>
      <c r="E17" s="86">
        <v>2685473</v>
      </c>
      <c r="F17" s="86">
        <f t="shared" si="0"/>
        <v>3322820</v>
      </c>
      <c r="G17" s="86">
        <v>5269359</v>
      </c>
      <c r="H17" s="87">
        <f t="shared" si="1"/>
        <v>63.05928292226815</v>
      </c>
      <c r="I17" s="88">
        <f t="shared" si="2"/>
        <v>50.96394077533909</v>
      </c>
      <c r="J17" s="87">
        <f t="shared" si="3"/>
        <v>12.095342146929067</v>
      </c>
      <c r="K17" s="89"/>
      <c r="L17" s="89"/>
      <c r="M17" s="89">
        <v>19362547</v>
      </c>
    </row>
    <row r="18" spans="2:13" s="90" customFormat="1" ht="15.75" customHeight="1">
      <c r="B18" s="91">
        <v>13</v>
      </c>
      <c r="C18" s="31" t="s">
        <v>37</v>
      </c>
      <c r="D18" s="120">
        <v>2627448</v>
      </c>
      <c r="E18" s="86">
        <v>4770412</v>
      </c>
      <c r="F18" s="86">
        <f t="shared" si="0"/>
        <v>7397860</v>
      </c>
      <c r="G18" s="86">
        <v>15294566</v>
      </c>
      <c r="H18" s="87">
        <f t="shared" si="1"/>
        <v>48.36920511507159</v>
      </c>
      <c r="I18" s="88">
        <f t="shared" si="2"/>
        <v>31.190241030703326</v>
      </c>
      <c r="J18" s="87">
        <f t="shared" si="3"/>
        <v>17.178964084368264</v>
      </c>
      <c r="K18" s="89"/>
      <c r="L18" s="89"/>
      <c r="M18" s="89">
        <f>M14-M15-M16-M17</f>
        <v>17849667</v>
      </c>
    </row>
    <row r="19" spans="2:13" s="90" customFormat="1" ht="15.75" customHeight="1">
      <c r="B19" s="91">
        <v>14</v>
      </c>
      <c r="C19" s="31" t="s">
        <v>69</v>
      </c>
      <c r="D19" s="120">
        <v>13615307</v>
      </c>
      <c r="E19" s="86">
        <v>19169794</v>
      </c>
      <c r="F19" s="86">
        <f t="shared" si="0"/>
        <v>32785101</v>
      </c>
      <c r="G19" s="86">
        <v>80834762</v>
      </c>
      <c r="H19" s="87">
        <f t="shared" si="1"/>
        <v>40.55817100073852</v>
      </c>
      <c r="I19" s="88">
        <f t="shared" si="2"/>
        <v>23.714789931589088</v>
      </c>
      <c r="J19" s="87">
        <f t="shared" si="3"/>
        <v>16.843381069149434</v>
      </c>
      <c r="K19" s="89"/>
      <c r="L19" s="89"/>
      <c r="M19" s="89"/>
    </row>
    <row r="20" spans="2:13" s="90" customFormat="1" ht="15.75" customHeight="1">
      <c r="B20" s="91">
        <v>15</v>
      </c>
      <c r="C20" s="31" t="s">
        <v>70</v>
      </c>
      <c r="D20" s="120">
        <v>1581829</v>
      </c>
      <c r="E20" s="86">
        <v>3026740</v>
      </c>
      <c r="F20" s="86">
        <f t="shared" si="0"/>
        <v>4608569</v>
      </c>
      <c r="G20" s="86">
        <v>20044543</v>
      </c>
      <c r="H20" s="87">
        <f t="shared" si="1"/>
        <v>22.991639170820708</v>
      </c>
      <c r="I20" s="88">
        <f t="shared" si="2"/>
        <v>15.100069879368167</v>
      </c>
      <c r="J20" s="87">
        <f t="shared" si="3"/>
        <v>7.891569291452541</v>
      </c>
      <c r="K20" s="89"/>
      <c r="L20" s="89"/>
      <c r="M20" s="89"/>
    </row>
    <row r="21" spans="2:13" s="90" customFormat="1" ht="15.75" customHeight="1">
      <c r="B21" s="91">
        <v>16</v>
      </c>
      <c r="C21" s="31" t="s">
        <v>9</v>
      </c>
      <c r="D21" s="120">
        <v>900288</v>
      </c>
      <c r="E21" s="86">
        <v>3634570</v>
      </c>
      <c r="F21" s="86">
        <f t="shared" si="0"/>
        <v>4534858</v>
      </c>
      <c r="G21" s="86">
        <v>5352790</v>
      </c>
      <c r="H21" s="87">
        <f t="shared" si="1"/>
        <v>84.71952010073251</v>
      </c>
      <c r="I21" s="88">
        <f t="shared" si="2"/>
        <v>67.90047806844655</v>
      </c>
      <c r="J21" s="87">
        <f t="shared" si="3"/>
        <v>16.819042032285967</v>
      </c>
      <c r="K21" s="89"/>
      <c r="L21" s="89"/>
      <c r="M21" s="89"/>
    </row>
    <row r="22" spans="2:13" s="90" customFormat="1" ht="15.75" customHeight="1">
      <c r="B22" s="91">
        <v>17</v>
      </c>
      <c r="C22" s="31" t="s">
        <v>51</v>
      </c>
      <c r="D22" s="120">
        <v>192098.059</v>
      </c>
      <c r="E22" s="86">
        <v>845893.85</v>
      </c>
      <c r="F22" s="86">
        <f t="shared" si="0"/>
        <v>1037991.909</v>
      </c>
      <c r="G22" s="86">
        <v>1239838.4180000003</v>
      </c>
      <c r="H22" s="87">
        <f t="shared" si="1"/>
        <v>83.71993430195512</v>
      </c>
      <c r="I22" s="88">
        <f t="shared" si="2"/>
        <v>68.22613638352347</v>
      </c>
      <c r="J22" s="87">
        <f t="shared" si="3"/>
        <v>15.493797918431653</v>
      </c>
      <c r="K22" s="89"/>
      <c r="L22" s="89"/>
      <c r="M22" s="89"/>
    </row>
    <row r="23" spans="2:13" s="90" customFormat="1" ht="15.75" customHeight="1">
      <c r="B23" s="91">
        <v>18</v>
      </c>
      <c r="C23" s="122" t="s">
        <v>128</v>
      </c>
      <c r="D23" s="120">
        <v>390017.687</v>
      </c>
      <c r="E23" s="86">
        <v>2019792.559</v>
      </c>
      <c r="F23" s="86">
        <f t="shared" si="0"/>
        <v>2409810.246</v>
      </c>
      <c r="G23" s="86">
        <v>2307815.04</v>
      </c>
      <c r="H23" s="87">
        <f t="shared" si="1"/>
        <v>104.41955721026932</v>
      </c>
      <c r="I23" s="88">
        <f t="shared" si="2"/>
        <v>87.5196895761629</v>
      </c>
      <c r="J23" s="87">
        <f t="shared" si="3"/>
        <v>16.899867634106414</v>
      </c>
      <c r="K23" s="89"/>
      <c r="L23" s="89"/>
      <c r="M23" s="89"/>
    </row>
    <row r="24" spans="2:13" s="90" customFormat="1" ht="15.75" customHeight="1">
      <c r="B24" s="91">
        <v>19</v>
      </c>
      <c r="C24" s="122" t="s">
        <v>53</v>
      </c>
      <c r="D24" s="120">
        <v>9659047</v>
      </c>
      <c r="E24" s="86">
        <v>15265216</v>
      </c>
      <c r="F24" s="86">
        <f>D24+E24</f>
        <v>24924263</v>
      </c>
      <c r="G24" s="86">
        <v>63036193</v>
      </c>
      <c r="H24" s="87">
        <f t="shared" si="1"/>
        <v>39.53960703178886</v>
      </c>
      <c r="I24" s="88">
        <f t="shared" si="2"/>
        <v>24.216589348915786</v>
      </c>
      <c r="J24" s="87">
        <f t="shared" si="3"/>
        <v>15.323017682873076</v>
      </c>
      <c r="K24" s="89"/>
      <c r="L24" s="89"/>
      <c r="M24" s="89"/>
    </row>
    <row r="25" spans="2:13" s="90" customFormat="1" ht="15.75" customHeight="1">
      <c r="B25" s="91">
        <v>20</v>
      </c>
      <c r="C25" s="305" t="s">
        <v>74</v>
      </c>
      <c r="D25" s="120">
        <v>3046740</v>
      </c>
      <c r="E25" s="86">
        <v>4187774</v>
      </c>
      <c r="F25" s="86">
        <f>D25+E25</f>
        <v>7234514</v>
      </c>
      <c r="G25" s="86">
        <v>15263610</v>
      </c>
      <c r="H25" s="87">
        <f t="shared" si="1"/>
        <v>47.397136064142096</v>
      </c>
      <c r="I25" s="88">
        <f t="shared" si="2"/>
        <v>27.436327317063263</v>
      </c>
      <c r="J25" s="87">
        <f t="shared" si="3"/>
        <v>19.960808747078836</v>
      </c>
      <c r="K25" s="89"/>
      <c r="L25" s="89"/>
      <c r="M25" s="89"/>
    </row>
    <row r="26" spans="2:13" s="90" customFormat="1" ht="15.75" customHeight="1">
      <c r="B26" s="96">
        <v>21</v>
      </c>
      <c r="C26" s="305" t="s">
        <v>118</v>
      </c>
      <c r="D26" s="98">
        <v>536362</v>
      </c>
      <c r="E26" s="98">
        <v>2378136</v>
      </c>
      <c r="F26" s="86">
        <f>D26+E26</f>
        <v>2914498</v>
      </c>
      <c r="G26" s="86">
        <v>5137462</v>
      </c>
      <c r="H26" s="87">
        <f t="shared" si="1"/>
        <v>56.73030768889385</v>
      </c>
      <c r="I26" s="88">
        <f t="shared" si="2"/>
        <v>46.290094213835545</v>
      </c>
      <c r="J26" s="87">
        <f>((D26/G26))*100</f>
        <v>10.440213475058307</v>
      </c>
      <c r="K26" s="89"/>
      <c r="L26" s="89"/>
      <c r="M26" s="89"/>
    </row>
    <row r="27" spans="2:13" s="90" customFormat="1" ht="15.75" customHeight="1">
      <c r="B27" s="99"/>
      <c r="C27" s="306" t="s">
        <v>10</v>
      </c>
      <c r="D27" s="100">
        <f>SUM(D6:D26)</f>
        <v>81979751.1250623</v>
      </c>
      <c r="E27" s="100">
        <f>SUM(E6:E26)</f>
        <v>154060112.1747033</v>
      </c>
      <c r="F27" s="100">
        <f>SUM(F6:F26)</f>
        <v>236039863.29976562</v>
      </c>
      <c r="G27" s="100">
        <f>SUM(G6:G26)</f>
        <v>616783741.8029853</v>
      </c>
      <c r="H27" s="79">
        <f>((F27/G27))*100</f>
        <v>38.26946907027295</v>
      </c>
      <c r="I27" s="79">
        <f>((E27/G27))*100</f>
        <v>24.977978784647277</v>
      </c>
      <c r="J27" s="101">
        <f>((D27/G27))*100</f>
        <v>13.291490285625668</v>
      </c>
      <c r="K27" s="89"/>
      <c r="L27" s="89"/>
      <c r="M27" s="89"/>
    </row>
    <row r="28" spans="2:13" s="90" customFormat="1" ht="15.75" customHeight="1">
      <c r="B28" s="102"/>
      <c r="C28" s="302"/>
      <c r="D28" s="103"/>
      <c r="E28" s="103"/>
      <c r="F28" s="103"/>
      <c r="G28" s="103"/>
      <c r="H28" s="103"/>
      <c r="I28" s="103"/>
      <c r="J28" s="103"/>
      <c r="K28" s="89"/>
      <c r="L28" s="89"/>
      <c r="M28" s="89"/>
    </row>
    <row r="29" spans="2:13" s="90" customFormat="1" ht="15.75" customHeight="1">
      <c r="B29" s="102"/>
      <c r="C29" s="302"/>
      <c r="D29" s="103"/>
      <c r="E29" s="103"/>
      <c r="F29" s="103"/>
      <c r="G29" s="103"/>
      <c r="H29" s="103"/>
      <c r="I29" s="103"/>
      <c r="J29" s="103"/>
      <c r="K29" s="89"/>
      <c r="L29" s="89"/>
      <c r="M29" s="89"/>
    </row>
    <row r="30" spans="2:13" s="90" customFormat="1" ht="15.75" customHeight="1">
      <c r="B30" s="102"/>
      <c r="C30" s="302"/>
      <c r="D30" s="103"/>
      <c r="E30" s="103"/>
      <c r="F30" s="103"/>
      <c r="G30" s="103"/>
      <c r="H30" s="103"/>
      <c r="I30" s="103"/>
      <c r="J30" s="103"/>
      <c r="K30" s="89"/>
      <c r="L30" s="89"/>
      <c r="M30" s="89"/>
    </row>
    <row r="31" spans="2:13" s="90" customFormat="1" ht="15.75" customHeight="1">
      <c r="B31" s="102"/>
      <c r="C31" s="302"/>
      <c r="D31" s="103" t="s">
        <v>170</v>
      </c>
      <c r="E31" s="103"/>
      <c r="F31" s="103"/>
      <c r="G31" s="104"/>
      <c r="H31" s="103"/>
      <c r="I31" s="103"/>
      <c r="J31" s="103"/>
      <c r="K31" s="89"/>
      <c r="L31" s="89"/>
      <c r="M31" s="89"/>
    </row>
    <row r="32" spans="2:13" s="90" customFormat="1" ht="15.75" customHeight="1">
      <c r="B32" s="102"/>
      <c r="C32" s="302"/>
      <c r="D32" s="103"/>
      <c r="E32" s="103"/>
      <c r="F32" s="103"/>
      <c r="G32" s="103"/>
      <c r="H32" s="103"/>
      <c r="I32" s="103"/>
      <c r="J32" s="103"/>
      <c r="K32" s="89"/>
      <c r="L32" s="89"/>
      <c r="M32" s="89"/>
    </row>
    <row r="33" spans="2:13" s="90" customFormat="1" ht="15.75" customHeight="1">
      <c r="B33" s="100" t="s">
        <v>38</v>
      </c>
      <c r="C33" s="306" t="s">
        <v>39</v>
      </c>
      <c r="D33" s="105" t="s">
        <v>23</v>
      </c>
      <c r="E33" s="79" t="s">
        <v>25</v>
      </c>
      <c r="F33" s="79" t="s">
        <v>10</v>
      </c>
      <c r="G33" s="79" t="s">
        <v>28</v>
      </c>
      <c r="H33" s="105" t="s">
        <v>30</v>
      </c>
      <c r="I33" s="79" t="s">
        <v>32</v>
      </c>
      <c r="J33" s="79" t="s">
        <v>34</v>
      </c>
      <c r="K33" s="89"/>
      <c r="L33" s="89"/>
      <c r="M33" s="89"/>
    </row>
    <row r="34" spans="2:17" s="84" customFormat="1" ht="15.75" customHeight="1">
      <c r="B34" s="106"/>
      <c r="C34" s="307" t="s">
        <v>0</v>
      </c>
      <c r="D34" s="108" t="s">
        <v>24</v>
      </c>
      <c r="E34" s="107" t="s">
        <v>27</v>
      </c>
      <c r="F34" s="107" t="s">
        <v>26</v>
      </c>
      <c r="G34" s="107" t="s">
        <v>29</v>
      </c>
      <c r="H34" s="108" t="s">
        <v>31</v>
      </c>
      <c r="I34" s="107" t="s">
        <v>33</v>
      </c>
      <c r="J34" s="107" t="s">
        <v>33</v>
      </c>
      <c r="K34" s="83"/>
      <c r="L34" s="83"/>
      <c r="M34" s="83"/>
      <c r="Q34" s="84" t="s">
        <v>65</v>
      </c>
    </row>
    <row r="35" spans="2:14" s="84" customFormat="1" ht="15.75" customHeight="1">
      <c r="B35" s="98">
        <v>1</v>
      </c>
      <c r="C35" s="305" t="s">
        <v>75</v>
      </c>
      <c r="D35" s="121">
        <v>4959987</v>
      </c>
      <c r="E35" s="98">
        <v>17604064</v>
      </c>
      <c r="F35" s="98">
        <f aca="true" t="shared" si="4" ref="F35:F43">D35+E35</f>
        <v>22564051</v>
      </c>
      <c r="G35" s="98">
        <v>41589317</v>
      </c>
      <c r="H35" s="109">
        <f aca="true" t="shared" si="5" ref="H35:H43">((F35/G35))*100</f>
        <v>54.25443990821008</v>
      </c>
      <c r="I35" s="97">
        <f aca="true" t="shared" si="6" ref="I35:I44">((E35/G35))*100</f>
        <v>42.32833157611124</v>
      </c>
      <c r="J35" s="97">
        <f aca="true" t="shared" si="7" ref="J35:J44">((D35/G35))*100</f>
        <v>11.926108332098842</v>
      </c>
      <c r="K35" s="83"/>
      <c r="L35" s="294"/>
      <c r="M35" s="294"/>
      <c r="N35" s="27"/>
    </row>
    <row r="36" spans="2:22" s="90" customFormat="1" ht="15.75" customHeight="1">
      <c r="B36" s="98">
        <v>2</v>
      </c>
      <c r="C36" s="305" t="s">
        <v>7</v>
      </c>
      <c r="D36" s="121">
        <v>5125679</v>
      </c>
      <c r="E36" s="98">
        <v>8569496</v>
      </c>
      <c r="F36" s="98">
        <f t="shared" si="4"/>
        <v>13695175</v>
      </c>
      <c r="G36" s="98">
        <v>39657401</v>
      </c>
      <c r="H36" s="109">
        <f t="shared" si="5"/>
        <v>34.533717930733786</v>
      </c>
      <c r="I36" s="97">
        <f t="shared" si="6"/>
        <v>21.608818994467136</v>
      </c>
      <c r="J36" s="97">
        <f t="shared" si="7"/>
        <v>12.924898936266652</v>
      </c>
      <c r="K36" s="89"/>
      <c r="L36" s="295"/>
      <c r="M36" s="294"/>
      <c r="N36" s="27"/>
      <c r="P36" s="92" t="s">
        <v>38</v>
      </c>
      <c r="Q36" s="93" t="s">
        <v>45</v>
      </c>
      <c r="R36" s="93" t="s">
        <v>46</v>
      </c>
      <c r="S36" s="93" t="s">
        <v>47</v>
      </c>
      <c r="T36" s="93" t="s">
        <v>54</v>
      </c>
      <c r="U36" s="93" t="s">
        <v>57</v>
      </c>
      <c r="V36" s="110"/>
    </row>
    <row r="37" spans="2:22" s="90" customFormat="1" ht="15.75" customHeight="1">
      <c r="B37" s="98">
        <v>3</v>
      </c>
      <c r="C37" s="305" t="s">
        <v>68</v>
      </c>
      <c r="D37" s="121">
        <v>6871780</v>
      </c>
      <c r="E37" s="98">
        <v>9015588</v>
      </c>
      <c r="F37" s="98">
        <f t="shared" si="4"/>
        <v>15887368</v>
      </c>
      <c r="G37" s="98">
        <v>47531647</v>
      </c>
      <c r="H37" s="109">
        <f t="shared" si="5"/>
        <v>33.42482115126371</v>
      </c>
      <c r="I37" s="97">
        <f t="shared" si="6"/>
        <v>18.96754808433211</v>
      </c>
      <c r="J37" s="97">
        <f t="shared" si="7"/>
        <v>14.457273066931597</v>
      </c>
      <c r="K37" s="89"/>
      <c r="L37" s="295"/>
      <c r="M37" s="294"/>
      <c r="N37" s="27"/>
      <c r="P37" s="92" t="s">
        <v>62</v>
      </c>
      <c r="Q37" s="94">
        <v>1810205</v>
      </c>
      <c r="R37" s="94">
        <v>4228402</v>
      </c>
      <c r="S37" s="94">
        <v>2062244</v>
      </c>
      <c r="T37" s="94">
        <v>4382059</v>
      </c>
      <c r="U37" s="95">
        <f>D44</f>
        <v>46165526.441</v>
      </c>
      <c r="V37" s="111"/>
    </row>
    <row r="38" spans="2:22" s="90" customFormat="1" ht="15.75" customHeight="1">
      <c r="B38" s="98">
        <v>4</v>
      </c>
      <c r="C38" s="305" t="s">
        <v>71</v>
      </c>
      <c r="D38" s="121">
        <v>286374.441</v>
      </c>
      <c r="E38" s="98">
        <v>2696445.526</v>
      </c>
      <c r="F38" s="98">
        <f t="shared" si="4"/>
        <v>2982819.967</v>
      </c>
      <c r="G38" s="98">
        <v>1831417.9989999998</v>
      </c>
      <c r="H38" s="109">
        <f t="shared" si="5"/>
        <v>162.86942514645452</v>
      </c>
      <c r="I38" s="97">
        <f t="shared" si="6"/>
        <v>147.23266493352838</v>
      </c>
      <c r="J38" s="97">
        <f t="shared" si="7"/>
        <v>15.636760212926138</v>
      </c>
      <c r="K38" s="89"/>
      <c r="L38" s="295"/>
      <c r="M38" s="294"/>
      <c r="N38" s="27"/>
      <c r="P38" s="92" t="s">
        <v>63</v>
      </c>
      <c r="Q38" s="94">
        <v>6718722</v>
      </c>
      <c r="R38" s="94">
        <v>8424293</v>
      </c>
      <c r="S38" s="94">
        <v>7821201</v>
      </c>
      <c r="T38" s="94">
        <v>16046250</v>
      </c>
      <c r="U38" s="95">
        <f>E44</f>
        <v>82466297.24599999</v>
      </c>
      <c r="V38" s="111"/>
    </row>
    <row r="39" spans="2:22" s="90" customFormat="1" ht="15.75" customHeight="1">
      <c r="B39" s="98">
        <v>5</v>
      </c>
      <c r="C39" s="305" t="s">
        <v>1</v>
      </c>
      <c r="D39" s="121">
        <v>7783624</v>
      </c>
      <c r="E39" s="98">
        <v>12097342</v>
      </c>
      <c r="F39" s="98">
        <f t="shared" si="4"/>
        <v>19880966</v>
      </c>
      <c r="G39" s="98">
        <v>45098513</v>
      </c>
      <c r="H39" s="109">
        <f t="shared" si="5"/>
        <v>44.08341800537858</v>
      </c>
      <c r="I39" s="97">
        <f t="shared" si="6"/>
        <v>26.824259150185288</v>
      </c>
      <c r="J39" s="97">
        <f t="shared" si="7"/>
        <v>17.259158855193295</v>
      </c>
      <c r="K39" s="89"/>
      <c r="L39" s="295"/>
      <c r="M39" s="294"/>
      <c r="N39" s="27"/>
      <c r="P39" s="92" t="s">
        <v>58</v>
      </c>
      <c r="Q39" s="94">
        <f>SUM(Q37:Q38)</f>
        <v>8528927</v>
      </c>
      <c r="R39" s="94">
        <f>SUM(R37:R38)</f>
        <v>12652695</v>
      </c>
      <c r="S39" s="94">
        <f>SUM(S37:S38)</f>
        <v>9883445</v>
      </c>
      <c r="T39" s="94">
        <f>SUM(T37:T38)</f>
        <v>20428309</v>
      </c>
      <c r="U39" s="95">
        <f>SUM(U37:U38)</f>
        <v>128631823.68699999</v>
      </c>
      <c r="V39" s="111"/>
    </row>
    <row r="40" spans="2:22" s="90" customFormat="1" ht="15.75" customHeight="1">
      <c r="B40" s="98">
        <v>6</v>
      </c>
      <c r="C40" s="308" t="s">
        <v>52</v>
      </c>
      <c r="D40" s="121">
        <v>2699497</v>
      </c>
      <c r="E40" s="98">
        <v>8696630.72</v>
      </c>
      <c r="F40" s="98">
        <f t="shared" si="4"/>
        <v>11396127.72</v>
      </c>
      <c r="G40" s="98">
        <v>39823225.94</v>
      </c>
      <c r="H40" s="112">
        <f t="shared" si="5"/>
        <v>28.61678694028975</v>
      </c>
      <c r="I40" s="113">
        <f t="shared" si="6"/>
        <v>21.838086982463082</v>
      </c>
      <c r="J40" s="113">
        <f t="shared" si="7"/>
        <v>6.778699957826671</v>
      </c>
      <c r="K40" s="89"/>
      <c r="L40" s="295"/>
      <c r="M40" s="294"/>
      <c r="N40" s="27"/>
      <c r="P40" s="92" t="s">
        <v>55</v>
      </c>
      <c r="Q40" s="94">
        <v>15788203</v>
      </c>
      <c r="R40" s="94">
        <v>20442000</v>
      </c>
      <c r="S40" s="94">
        <v>22824202</v>
      </c>
      <c r="T40" s="94">
        <v>34586693</v>
      </c>
      <c r="U40" s="95">
        <f>G44</f>
        <v>269233463.939</v>
      </c>
      <c r="V40" s="111"/>
    </row>
    <row r="41" spans="2:21" s="90" customFormat="1" ht="15.75" customHeight="1">
      <c r="B41" s="98">
        <v>7</v>
      </c>
      <c r="C41" s="309" t="s">
        <v>73</v>
      </c>
      <c r="D41" s="121">
        <v>9543258</v>
      </c>
      <c r="E41" s="98">
        <v>20384590</v>
      </c>
      <c r="F41" s="98">
        <f t="shared" si="4"/>
        <v>29927848</v>
      </c>
      <c r="G41" s="98">
        <v>36125308</v>
      </c>
      <c r="H41" s="112">
        <f t="shared" si="5"/>
        <v>82.84454765063872</v>
      </c>
      <c r="I41" s="113">
        <f t="shared" si="6"/>
        <v>56.42744969814514</v>
      </c>
      <c r="J41" s="113">
        <f t="shared" si="7"/>
        <v>26.417097952493577</v>
      </c>
      <c r="K41" s="89"/>
      <c r="L41" s="295"/>
      <c r="M41" s="294"/>
      <c r="N41" s="27"/>
      <c r="P41" s="92" t="s">
        <v>59</v>
      </c>
      <c r="Q41" s="92">
        <f>(Q37/Q40)*100</f>
        <v>11.465554376264354</v>
      </c>
      <c r="R41" s="92">
        <f>(R37/R40)*100</f>
        <v>20.684874278446337</v>
      </c>
      <c r="S41" s="92">
        <f>(S37/S40)*100</f>
        <v>9.035338891585344</v>
      </c>
      <c r="T41" s="92">
        <f>(T37/T40)*100</f>
        <v>12.66978314463311</v>
      </c>
      <c r="U41" s="92">
        <f>(U37/U40)*100</f>
        <v>17.147023912101687</v>
      </c>
    </row>
    <row r="42" spans="2:21" s="90" customFormat="1" ht="15.75" customHeight="1">
      <c r="B42" s="98">
        <v>8</v>
      </c>
      <c r="C42" s="309" t="s">
        <v>67</v>
      </c>
      <c r="D42" s="121">
        <v>3762129</v>
      </c>
      <c r="E42" s="98">
        <v>2781273</v>
      </c>
      <c r="F42" s="98">
        <f t="shared" si="4"/>
        <v>6543402</v>
      </c>
      <c r="G42" s="98">
        <v>7499919</v>
      </c>
      <c r="H42" s="112">
        <f t="shared" si="5"/>
        <v>87.24630226006441</v>
      </c>
      <c r="I42" s="113">
        <f t="shared" si="6"/>
        <v>37.08404050763748</v>
      </c>
      <c r="J42" s="113">
        <f t="shared" si="7"/>
        <v>50.16226175242693</v>
      </c>
      <c r="K42" s="89"/>
      <c r="L42" s="295"/>
      <c r="M42" s="294"/>
      <c r="N42" s="27"/>
      <c r="P42" s="92" t="s">
        <v>60</v>
      </c>
      <c r="Q42" s="92">
        <f>(Q38/Q40)*100</f>
        <v>42.55533071116453</v>
      </c>
      <c r="R42" s="92">
        <f>(R38/R40)*100</f>
        <v>41.210708345563056</v>
      </c>
      <c r="S42" s="92">
        <f>(S38/S40)*100</f>
        <v>34.26713889055135</v>
      </c>
      <c r="T42" s="92">
        <f>(T38/T40)*100</f>
        <v>46.394288115374316</v>
      </c>
      <c r="U42" s="92">
        <f>(U38/U40)*100</f>
        <v>30.630032403655555</v>
      </c>
    </row>
    <row r="43" spans="2:21" s="90" customFormat="1" ht="15.75" customHeight="1">
      <c r="B43" s="96">
        <v>9</v>
      </c>
      <c r="C43" s="309" t="s">
        <v>82</v>
      </c>
      <c r="D43" s="158">
        <v>5133198</v>
      </c>
      <c r="E43" s="98">
        <v>620868</v>
      </c>
      <c r="F43" s="98">
        <f t="shared" si="4"/>
        <v>5754066</v>
      </c>
      <c r="G43" s="98">
        <v>10076715</v>
      </c>
      <c r="H43" s="112">
        <f t="shared" si="5"/>
        <v>57.10259742386283</v>
      </c>
      <c r="I43" s="113">
        <f t="shared" si="6"/>
        <v>6.161412722300868</v>
      </c>
      <c r="J43" s="159">
        <f t="shared" si="7"/>
        <v>50.94118470156197</v>
      </c>
      <c r="K43" s="89"/>
      <c r="L43" s="295"/>
      <c r="M43" s="294"/>
      <c r="N43" s="27"/>
      <c r="P43" s="92" t="s">
        <v>64</v>
      </c>
      <c r="Q43" s="92">
        <f>Q41+Q42</f>
        <v>54.02088508742888</v>
      </c>
      <c r="R43" s="92">
        <f>R41+R42</f>
        <v>61.89558262400939</v>
      </c>
      <c r="S43" s="92">
        <f>S41+S42</f>
        <v>43.30247778213669</v>
      </c>
      <c r="T43" s="92">
        <f>T41+T42</f>
        <v>59.064071260007424</v>
      </c>
      <c r="U43" s="92">
        <f>U41+U42</f>
        <v>47.77705631575724</v>
      </c>
    </row>
    <row r="44" spans="2:21" s="90" customFormat="1" ht="15.75" customHeight="1">
      <c r="B44" s="114"/>
      <c r="C44" s="310" t="s">
        <v>10</v>
      </c>
      <c r="D44" s="116">
        <f>SUM(D35:D43)</f>
        <v>46165526.441</v>
      </c>
      <c r="E44" s="116">
        <f>SUM(E35:E43)</f>
        <v>82466297.24599999</v>
      </c>
      <c r="F44" s="116">
        <f>SUM(F35:F43)</f>
        <v>128631823.687</v>
      </c>
      <c r="G44" s="116">
        <f>SUM(G35:G43)</f>
        <v>269233463.939</v>
      </c>
      <c r="H44" s="117">
        <f>((F44/G44))*100</f>
        <v>47.77705631575724</v>
      </c>
      <c r="I44" s="115">
        <f t="shared" si="6"/>
        <v>30.630032403655555</v>
      </c>
      <c r="J44" s="115">
        <f t="shared" si="7"/>
        <v>17.147023912101687</v>
      </c>
      <c r="K44" s="89"/>
      <c r="L44" s="89"/>
      <c r="M44" s="83"/>
      <c r="P44" s="92"/>
      <c r="Q44" s="92"/>
      <c r="R44" s="92"/>
      <c r="S44" s="92"/>
      <c r="T44" s="92"/>
      <c r="U44" s="92"/>
    </row>
    <row r="45" spans="2:13" s="119" customFormat="1" ht="15.75" customHeight="1">
      <c r="B45" s="102"/>
      <c r="C45" s="302"/>
      <c r="D45" s="103"/>
      <c r="E45" s="103"/>
      <c r="F45" s="103"/>
      <c r="G45" s="103"/>
      <c r="H45" s="103"/>
      <c r="I45" s="103"/>
      <c r="J45" s="103"/>
      <c r="K45" s="118"/>
      <c r="L45" s="118"/>
      <c r="M45" s="118"/>
    </row>
    <row r="46" spans="2:13" s="90" customFormat="1" ht="15.75" customHeight="1">
      <c r="B46" s="102"/>
      <c r="C46" s="302" t="s">
        <v>119</v>
      </c>
      <c r="D46" s="103"/>
      <c r="E46" s="103"/>
      <c r="F46" s="103"/>
      <c r="G46" s="103"/>
      <c r="H46" s="103"/>
      <c r="I46" s="103"/>
      <c r="J46" s="103"/>
      <c r="K46" s="89"/>
      <c r="L46" s="89"/>
      <c r="M46" s="89"/>
    </row>
    <row r="47" spans="2:13" s="90" customFormat="1" ht="15.75" customHeight="1">
      <c r="B47" s="100" t="s">
        <v>38</v>
      </c>
      <c r="C47" s="306" t="s">
        <v>39</v>
      </c>
      <c r="D47" s="105" t="s">
        <v>23</v>
      </c>
      <c r="E47" s="79" t="s">
        <v>25</v>
      </c>
      <c r="F47" s="79" t="s">
        <v>10</v>
      </c>
      <c r="G47" s="79" t="s">
        <v>28</v>
      </c>
      <c r="H47" s="105" t="s">
        <v>30</v>
      </c>
      <c r="I47" s="79" t="s">
        <v>32</v>
      </c>
      <c r="J47" s="79" t="s">
        <v>34</v>
      </c>
      <c r="K47" s="89"/>
      <c r="L47" s="89"/>
      <c r="M47" s="89"/>
    </row>
    <row r="48" spans="2:13" s="90" customFormat="1" ht="15.75" customHeight="1">
      <c r="B48" s="106"/>
      <c r="C48" s="307" t="s">
        <v>0</v>
      </c>
      <c r="D48" s="108" t="s">
        <v>24</v>
      </c>
      <c r="E48" s="107" t="s">
        <v>27</v>
      </c>
      <c r="F48" s="107" t="s">
        <v>26</v>
      </c>
      <c r="G48" s="107" t="s">
        <v>29</v>
      </c>
      <c r="H48" s="108" t="s">
        <v>31</v>
      </c>
      <c r="I48" s="107" t="s">
        <v>33</v>
      </c>
      <c r="J48" s="107" t="s">
        <v>33</v>
      </c>
      <c r="K48" s="89"/>
      <c r="L48" s="89"/>
      <c r="M48" s="89"/>
    </row>
    <row r="49" spans="2:13" s="90" customFormat="1" ht="15.75" customHeight="1">
      <c r="B49" s="98">
        <v>1</v>
      </c>
      <c r="C49" s="305" t="s">
        <v>113</v>
      </c>
      <c r="D49" s="121">
        <v>21116.746</v>
      </c>
      <c r="E49" s="98">
        <f>386107.323+4958.064</f>
        <v>391065.387</v>
      </c>
      <c r="F49" s="98">
        <f>D49+E49</f>
        <v>412182.133</v>
      </c>
      <c r="G49" s="98">
        <v>676610.4739999999</v>
      </c>
      <c r="H49" s="109">
        <f>((F49/G49))*100</f>
        <v>60.918674605087475</v>
      </c>
      <c r="I49" s="97">
        <f>((E49/G49))*100</f>
        <v>57.79771405075825</v>
      </c>
      <c r="J49" s="97">
        <f>((D49/G49))*100</f>
        <v>3.120960554329226</v>
      </c>
      <c r="K49" s="89"/>
      <c r="L49" s="89"/>
      <c r="M49" s="89"/>
    </row>
    <row r="50" spans="2:13" s="90" customFormat="1" ht="15.75" customHeight="1">
      <c r="B50" s="334">
        <v>2</v>
      </c>
      <c r="C50" s="335" t="s">
        <v>138</v>
      </c>
      <c r="D50" s="336"/>
      <c r="E50" s="337"/>
      <c r="F50" s="98">
        <f>D50+E50</f>
        <v>0</v>
      </c>
      <c r="G50" s="337"/>
      <c r="H50" s="341" t="e">
        <f>((F50/G50))*100</f>
        <v>#DIV/0!</v>
      </c>
      <c r="I50" s="338" t="e">
        <f>((E50/G50))*100</f>
        <v>#DIV/0!</v>
      </c>
      <c r="J50" s="97" t="e">
        <f>((D50/G50))*100</f>
        <v>#DIV/0!</v>
      </c>
      <c r="K50" s="89"/>
      <c r="L50" s="89"/>
      <c r="M50" s="89"/>
    </row>
    <row r="51" spans="2:10" ht="15.75" customHeight="1">
      <c r="B51" s="114"/>
      <c r="C51" s="310" t="s">
        <v>10</v>
      </c>
      <c r="D51" s="116">
        <f>SUM(D49:D50)</f>
        <v>21116.746</v>
      </c>
      <c r="E51" s="116">
        <f>SUM(E49:E50)</f>
        <v>391065.387</v>
      </c>
      <c r="F51" s="116">
        <f>SUM(F49:F50)</f>
        <v>412182.133</v>
      </c>
      <c r="G51" s="116">
        <f>SUM(G49:G50)</f>
        <v>676610.4739999999</v>
      </c>
      <c r="H51" s="117">
        <f>((F51/G51))*100</f>
        <v>60.918674605087475</v>
      </c>
      <c r="I51" s="115">
        <f>((E51/G51))*100</f>
        <v>57.79771405075825</v>
      </c>
      <c r="J51" s="115">
        <f>((D51/G51))*100</f>
        <v>3.120960554329226</v>
      </c>
    </row>
    <row r="53" ht="15.75" customHeight="1">
      <c r="C53" s="302" t="s">
        <v>172</v>
      </c>
    </row>
    <row r="54" spans="2:10" ht="15.75" customHeight="1">
      <c r="B54" s="100" t="s">
        <v>38</v>
      </c>
      <c r="C54" s="306" t="s">
        <v>39</v>
      </c>
      <c r="D54" s="105" t="s">
        <v>23</v>
      </c>
      <c r="E54" s="79" t="s">
        <v>25</v>
      </c>
      <c r="F54" s="79" t="s">
        <v>10</v>
      </c>
      <c r="G54" s="79" t="s">
        <v>28</v>
      </c>
      <c r="H54" s="105" t="s">
        <v>30</v>
      </c>
      <c r="I54" s="79" t="s">
        <v>32</v>
      </c>
      <c r="J54" s="79" t="s">
        <v>34</v>
      </c>
    </row>
    <row r="55" spans="2:10" ht="15.75" customHeight="1">
      <c r="B55" s="106"/>
      <c r="C55" s="307" t="s">
        <v>0</v>
      </c>
      <c r="D55" s="108" t="s">
        <v>24</v>
      </c>
      <c r="E55" s="107" t="s">
        <v>27</v>
      </c>
      <c r="F55" s="107" t="s">
        <v>26</v>
      </c>
      <c r="G55" s="107" t="s">
        <v>29</v>
      </c>
      <c r="H55" s="108" t="s">
        <v>31</v>
      </c>
      <c r="I55" s="107" t="s">
        <v>33</v>
      </c>
      <c r="J55" s="107" t="s">
        <v>33</v>
      </c>
    </row>
    <row r="56" spans="2:10" ht="15.75" customHeight="1">
      <c r="B56" s="98">
        <v>1</v>
      </c>
      <c r="C56" s="305" t="s">
        <v>86</v>
      </c>
      <c r="D56" s="121">
        <v>2875595</v>
      </c>
      <c r="E56" s="98">
        <v>4372391</v>
      </c>
      <c r="F56" s="98">
        <f>D56+E56</f>
        <v>7247986</v>
      </c>
      <c r="G56" s="98">
        <v>33346570</v>
      </c>
      <c r="H56" s="109">
        <f aca="true" t="shared" si="8" ref="H56:H61">((F56/G56))*100</f>
        <v>21.73532690168734</v>
      </c>
      <c r="I56" s="97">
        <f aca="true" t="shared" si="9" ref="I56:I61">((E56/G56))*100</f>
        <v>13.111966238206808</v>
      </c>
      <c r="J56" s="97">
        <f aca="true" t="shared" si="10" ref="J56:J61">((D56/G56))*100</f>
        <v>8.623360663480533</v>
      </c>
    </row>
    <row r="57" spans="2:10" ht="15.75" customHeight="1">
      <c r="B57" s="98">
        <v>2</v>
      </c>
      <c r="C57" s="305" t="s">
        <v>92</v>
      </c>
      <c r="D57" s="121">
        <v>3028000</v>
      </c>
      <c r="E57" s="98">
        <v>5184000</v>
      </c>
      <c r="F57" s="98">
        <f>D57+E57</f>
        <v>8212000</v>
      </c>
      <c r="G57" s="98">
        <v>29740000</v>
      </c>
      <c r="H57" s="109">
        <f t="shared" si="8"/>
        <v>27.61264290517821</v>
      </c>
      <c r="I57" s="97">
        <f t="shared" si="9"/>
        <v>17.431069266980497</v>
      </c>
      <c r="J57" s="97">
        <f t="shared" si="10"/>
        <v>10.181573638197714</v>
      </c>
    </row>
    <row r="58" spans="2:10" ht="15.75" customHeight="1">
      <c r="B58" s="98">
        <v>3</v>
      </c>
      <c r="C58" s="305" t="s">
        <v>93</v>
      </c>
      <c r="D58" s="121">
        <v>288979.1</v>
      </c>
      <c r="E58" s="98">
        <v>682395.572</v>
      </c>
      <c r="F58" s="98">
        <f>D58+E58</f>
        <v>971374.672</v>
      </c>
      <c r="G58" s="98">
        <v>3909835.326</v>
      </c>
      <c r="H58" s="109">
        <f t="shared" si="8"/>
        <v>24.844388343940192</v>
      </c>
      <c r="I58" s="97">
        <f t="shared" si="9"/>
        <v>17.453307239364793</v>
      </c>
      <c r="J58" s="97">
        <f t="shared" si="10"/>
        <v>7.391081104575401</v>
      </c>
    </row>
    <row r="59" spans="2:10" ht="15.75" customHeight="1">
      <c r="B59" s="98">
        <v>4</v>
      </c>
      <c r="C59" s="305" t="s">
        <v>94</v>
      </c>
      <c r="D59" s="121">
        <v>537219.752</v>
      </c>
      <c r="E59" s="98">
        <v>1013193.1</v>
      </c>
      <c r="F59" s="98">
        <f>D59+E59</f>
        <v>1550412.852</v>
      </c>
      <c r="G59" s="98">
        <v>8951898.579</v>
      </c>
      <c r="H59" s="109">
        <f t="shared" si="8"/>
        <v>17.31937463676218</v>
      </c>
      <c r="I59" s="97">
        <f t="shared" si="9"/>
        <v>11.318192348345192</v>
      </c>
      <c r="J59" s="97">
        <f t="shared" si="10"/>
        <v>6.001182288416987</v>
      </c>
    </row>
    <row r="60" spans="2:10" ht="15.75" customHeight="1">
      <c r="B60" s="98">
        <v>5</v>
      </c>
      <c r="C60" s="305" t="s">
        <v>95</v>
      </c>
      <c r="D60" s="121">
        <v>0</v>
      </c>
      <c r="E60" s="98">
        <v>50901.024</v>
      </c>
      <c r="F60" s="98">
        <f>D60+E60</f>
        <v>50901.024</v>
      </c>
      <c r="G60" s="98">
        <v>323230.871</v>
      </c>
      <c r="H60" s="109">
        <f t="shared" si="8"/>
        <v>15.747575051394147</v>
      </c>
      <c r="I60" s="97">
        <f t="shared" si="9"/>
        <v>15.747575051394147</v>
      </c>
      <c r="J60" s="97">
        <f t="shared" si="10"/>
        <v>0</v>
      </c>
    </row>
    <row r="61" spans="2:10" ht="15.75" customHeight="1">
      <c r="B61" s="114"/>
      <c r="C61" s="310" t="s">
        <v>10</v>
      </c>
      <c r="D61" s="116">
        <f>SUM(D56:D60)</f>
        <v>6729793.852</v>
      </c>
      <c r="E61" s="116">
        <f>SUM(E56:E60)</f>
        <v>11302880.696</v>
      </c>
      <c r="F61" s="116">
        <f>SUM(F56:F60)</f>
        <v>18032674.548</v>
      </c>
      <c r="G61" s="116">
        <f>SUM(G56:G60)</f>
        <v>76271534.77600001</v>
      </c>
      <c r="H61" s="117">
        <f t="shared" si="8"/>
        <v>23.642731985084236</v>
      </c>
      <c r="I61" s="115">
        <f t="shared" si="9"/>
        <v>14.819264787571344</v>
      </c>
      <c r="J61" s="115">
        <f t="shared" si="10"/>
        <v>8.823467197512894</v>
      </c>
    </row>
    <row r="269" spans="3:10" ht="15.75" customHeight="1">
      <c r="C269" s="302">
        <f>78+552</f>
        <v>630</v>
      </c>
      <c r="D269" s="33">
        <f>12+123</f>
        <v>135</v>
      </c>
      <c r="E269" s="54">
        <f>24+221</f>
        <v>245</v>
      </c>
      <c r="F269" s="54">
        <f>24+109</f>
        <v>133</v>
      </c>
      <c r="G269" s="54">
        <f>19+112</f>
        <v>131</v>
      </c>
      <c r="H269" s="54">
        <f>381+33</f>
        <v>414</v>
      </c>
      <c r="I269" s="54">
        <f>463+1114</f>
        <v>1577</v>
      </c>
      <c r="J269" s="54">
        <f>64+35</f>
        <v>99</v>
      </c>
    </row>
    <row r="270" spans="11:13" ht="15.75" customHeight="1">
      <c r="K270" s="1">
        <f>142+81</f>
        <v>223</v>
      </c>
      <c r="M270" s="1">
        <f>111+337</f>
        <v>448</v>
      </c>
    </row>
  </sheetData>
  <sheetProtection/>
  <printOptions/>
  <pageMargins left="0.2" right="0.75" top="0.28" bottom="0.25" header="0.28" footer="0.17"/>
  <pageSetup horizontalDpi="600" verticalDpi="600" orientation="landscape" scale="85" r:id="rId7"/>
  <ignoredErrors>
    <ignoredError sqref="H5:J5 H34:J34"/>
  </ignoredErrors>
  <tableParts>
    <tablePart r:id="rId2"/>
    <tablePart r:id="rId6"/>
    <tablePart r:id="rId5"/>
    <tablePart r:id="rId1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Stephen Kisira</cp:lastModifiedBy>
  <cp:lastPrinted>2017-09-28T15:32:03Z</cp:lastPrinted>
  <dcterms:created xsi:type="dcterms:W3CDTF">2009-07-21T12:40:25Z</dcterms:created>
  <dcterms:modified xsi:type="dcterms:W3CDTF">2020-03-27T11:59:30Z</dcterms:modified>
  <cp:category/>
  <cp:version/>
  <cp:contentType/>
  <cp:contentStatus/>
</cp:coreProperties>
</file>